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jdleaverton_tamu_edu/Documents/URS/"/>
    </mc:Choice>
  </mc:AlternateContent>
  <xr:revisionPtr revIDLastSave="46" documentId="14_{F4D5ECAA-8E06-44D1-AFA1-4E43727CD3CE}" xr6:coauthVersionLast="45" xr6:coauthVersionMax="45" xr10:uidLastSave="{62612EA4-A6DA-4B50-9E1F-870F3DF65D4E}"/>
  <bookViews>
    <workbookView xWindow="28680" yWindow="-120" windowWidth="29040" windowHeight="15840" xr2:uid="{00000000-000D-0000-FFFF-FFFF00000000}"/>
  </bookViews>
  <sheets>
    <sheet name="Data" sheetId="1" r:id="rId1"/>
    <sheet name="PAI Analysis Data" sheetId="15" r:id="rId2"/>
    <sheet name="Polymer Metrics" sheetId="13" r:id="rId3"/>
    <sheet name="Inventory" sheetId="7" r:id="rId4"/>
    <sheet name="Plots" sheetId="3" r:id="rId5"/>
    <sheet name="Targets" sheetId="8" r:id="rId6"/>
    <sheet name="Stats" sheetId="4" r:id="rId7"/>
    <sheet name="Options" sheetId="2" r:id="rId8"/>
    <sheet name="Key" sheetId="6" r:id="rId9"/>
    <sheet name="Velocity" sheetId="10" r:id="rId10"/>
    <sheet name="Projectiles" sheetId="9" r:id="rId11"/>
    <sheet name="Measurements" sheetId="11" r:id="rId12"/>
    <sheet name="MSU Work" sheetId="12" r:id="rId13"/>
    <sheet name="Polymer Hole Size" sheetId="14" r:id="rId14"/>
  </sheets>
  <definedNames>
    <definedName name="_xlnm._FilterDatabase" localSheetId="0" hidden="1">Data!$CD$32:$CF$51</definedName>
    <definedName name="_xlnm._FilterDatabase" localSheetId="1" hidden="1">'PAI Analysis Data'!$A$1:$P$87</definedName>
    <definedName name="_xlnm._FilterDatabase" localSheetId="13" hidden="1">'Polymer Hole Size'!$A$1:$L$38</definedName>
    <definedName name="_xlnm._FilterDatabase" localSheetId="2" hidden="1">'Polymer Metrics'!$B$1:$H$136</definedName>
    <definedName name="Ceramic">Options!#REF!</definedName>
    <definedName name="Composite">Options!$C$2:$C$50</definedName>
    <definedName name="distx">Data!$G$2</definedName>
    <definedName name="Metal">Options!$A$2:$A$50</definedName>
    <definedName name="Polymer">Options!#REF!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8" i="15" l="1"/>
  <c r="B88" i="15" s="1"/>
  <c r="A89" i="15"/>
  <c r="E89" i="15" s="1"/>
  <c r="A90" i="15"/>
  <c r="H90" i="15" s="1"/>
  <c r="A91" i="15"/>
  <c r="B91" i="15" s="1"/>
  <c r="A92" i="15"/>
  <c r="F92" i="15" s="1"/>
  <c r="A93" i="15"/>
  <c r="C93" i="15" s="1"/>
  <c r="A94" i="15"/>
  <c r="F94" i="15" s="1"/>
  <c r="A95" i="15"/>
  <c r="B95" i="15" s="1"/>
  <c r="A96" i="15"/>
  <c r="B96" i="15" s="1"/>
  <c r="A97" i="15"/>
  <c r="E97" i="15" s="1"/>
  <c r="A98" i="15"/>
  <c r="H98" i="15" s="1"/>
  <c r="A104" i="15"/>
  <c r="B104" i="15" s="1"/>
  <c r="A105" i="15"/>
  <c r="E105" i="15" s="1"/>
  <c r="A106" i="15"/>
  <c r="H106" i="15" s="1"/>
  <c r="A107" i="15"/>
  <c r="B107" i="15" s="1"/>
  <c r="A108" i="15"/>
  <c r="F108" i="15" s="1"/>
  <c r="A109" i="15"/>
  <c r="C109" i="15" s="1"/>
  <c r="A110" i="15"/>
  <c r="F110" i="15" s="1"/>
  <c r="A111" i="15"/>
  <c r="G111" i="15" s="1"/>
  <c r="A112" i="15"/>
  <c r="B112" i="15" s="1"/>
  <c r="A113" i="15"/>
  <c r="E113" i="15" s="1"/>
  <c r="C113" i="15"/>
  <c r="D113" i="15"/>
  <c r="I113" i="15"/>
  <c r="K113" i="15"/>
  <c r="L113" i="15"/>
  <c r="A114" i="15"/>
  <c r="H114" i="15" s="1"/>
  <c r="A115" i="15"/>
  <c r="B115" i="15" s="1"/>
  <c r="A116" i="15"/>
  <c r="F116" i="15" s="1"/>
  <c r="A117" i="15"/>
  <c r="C117" i="15" s="1"/>
  <c r="S90" i="1"/>
  <c r="I106" i="15" l="1"/>
  <c r="H93" i="15"/>
  <c r="K111" i="15"/>
  <c r="M109" i="15"/>
  <c r="J111" i="15"/>
  <c r="B109" i="15"/>
  <c r="L111" i="15"/>
  <c r="I111" i="15"/>
  <c r="F111" i="15"/>
  <c r="B108" i="15"/>
  <c r="M111" i="15"/>
  <c r="L114" i="15"/>
  <c r="E111" i="15"/>
  <c r="K114" i="15"/>
  <c r="D111" i="15"/>
  <c r="I117" i="15"/>
  <c r="M117" i="15"/>
  <c r="D117" i="15"/>
  <c r="B116" i="15"/>
  <c r="D108" i="15"/>
  <c r="M93" i="15"/>
  <c r="K117" i="15"/>
  <c r="J117" i="15"/>
  <c r="L116" i="15"/>
  <c r="M116" i="15"/>
  <c r="J116" i="15"/>
  <c r="H117" i="15"/>
  <c r="I116" i="15"/>
  <c r="C111" i="15"/>
  <c r="I108" i="15"/>
  <c r="G106" i="15"/>
  <c r="L117" i="15"/>
  <c r="M108" i="15"/>
  <c r="G117" i="15"/>
  <c r="E116" i="15"/>
  <c r="B111" i="15"/>
  <c r="G108" i="15"/>
  <c r="F106" i="15"/>
  <c r="E117" i="15"/>
  <c r="D116" i="15"/>
  <c r="E108" i="15"/>
  <c r="D106" i="15"/>
  <c r="G93" i="15"/>
  <c r="H96" i="15"/>
  <c r="C94" i="15"/>
  <c r="L90" i="15"/>
  <c r="J94" i="15"/>
  <c r="B93" i="15"/>
  <c r="E94" i="15"/>
  <c r="I96" i="15"/>
  <c r="D94" i="15"/>
  <c r="M94" i="15"/>
  <c r="L94" i="15"/>
  <c r="F90" i="15"/>
  <c r="G114" i="15"/>
  <c r="M92" i="15"/>
  <c r="I114" i="15"/>
  <c r="I94" i="15"/>
  <c r="L93" i="15"/>
  <c r="L92" i="15"/>
  <c r="L89" i="15"/>
  <c r="F114" i="15"/>
  <c r="B117" i="15"/>
  <c r="D114" i="15"/>
  <c r="H111" i="15"/>
  <c r="J110" i="15"/>
  <c r="L108" i="15"/>
  <c r="I104" i="15"/>
  <c r="I95" i="15"/>
  <c r="H94" i="15"/>
  <c r="J93" i="15"/>
  <c r="J92" i="15"/>
  <c r="K89" i="15"/>
  <c r="C114" i="15"/>
  <c r="I112" i="15"/>
  <c r="I110" i="15"/>
  <c r="J108" i="15"/>
  <c r="L106" i="15"/>
  <c r="H95" i="15"/>
  <c r="G94" i="15"/>
  <c r="I93" i="15"/>
  <c r="I92" i="15"/>
  <c r="I89" i="15"/>
  <c r="H110" i="15"/>
  <c r="D98" i="15"/>
  <c r="G95" i="15"/>
  <c r="G110" i="15"/>
  <c r="J109" i="15"/>
  <c r="H104" i="15"/>
  <c r="L97" i="15"/>
  <c r="F95" i="15"/>
  <c r="K94" i="15"/>
  <c r="B94" i="15"/>
  <c r="E93" i="15"/>
  <c r="G92" i="15"/>
  <c r="I90" i="15"/>
  <c r="D89" i="15"/>
  <c r="E110" i="15"/>
  <c r="I109" i="15"/>
  <c r="I107" i="15"/>
  <c r="L105" i="15"/>
  <c r="K97" i="15"/>
  <c r="M95" i="15"/>
  <c r="E95" i="15"/>
  <c r="D93" i="15"/>
  <c r="E92" i="15"/>
  <c r="G90" i="15"/>
  <c r="C89" i="15"/>
  <c r="M110" i="15"/>
  <c r="D110" i="15"/>
  <c r="H109" i="15"/>
  <c r="K105" i="15"/>
  <c r="L98" i="15"/>
  <c r="I97" i="15"/>
  <c r="L95" i="15"/>
  <c r="D95" i="15"/>
  <c r="D92" i="15"/>
  <c r="H112" i="15"/>
  <c r="L110" i="15"/>
  <c r="C110" i="15"/>
  <c r="G109" i="15"/>
  <c r="I105" i="15"/>
  <c r="I98" i="15"/>
  <c r="D97" i="15"/>
  <c r="K95" i="15"/>
  <c r="C95" i="15"/>
  <c r="B92" i="15"/>
  <c r="D90" i="15"/>
  <c r="I88" i="15"/>
  <c r="L109" i="15"/>
  <c r="K110" i="15"/>
  <c r="B110" i="15"/>
  <c r="E109" i="15"/>
  <c r="D105" i="15"/>
  <c r="G98" i="15"/>
  <c r="C97" i="15"/>
  <c r="J95" i="15"/>
  <c r="H88" i="15"/>
  <c r="D109" i="15"/>
  <c r="C105" i="15"/>
  <c r="F98" i="15"/>
  <c r="I91" i="15"/>
  <c r="F117" i="15"/>
  <c r="K116" i="15"/>
  <c r="C116" i="15"/>
  <c r="H115" i="15"/>
  <c r="M114" i="15"/>
  <c r="E114" i="15"/>
  <c r="J113" i="15"/>
  <c r="B113" i="15"/>
  <c r="G112" i="15"/>
  <c r="F109" i="15"/>
  <c r="K108" i="15"/>
  <c r="C108" i="15"/>
  <c r="H107" i="15"/>
  <c r="M106" i="15"/>
  <c r="E106" i="15"/>
  <c r="J105" i="15"/>
  <c r="B105" i="15"/>
  <c r="G104" i="15"/>
  <c r="M98" i="15"/>
  <c r="E98" i="15"/>
  <c r="J97" i="15"/>
  <c r="B97" i="15"/>
  <c r="G96" i="15"/>
  <c r="F93" i="15"/>
  <c r="K92" i="15"/>
  <c r="C92" i="15"/>
  <c r="H91" i="15"/>
  <c r="M90" i="15"/>
  <c r="E90" i="15"/>
  <c r="J89" i="15"/>
  <c r="B89" i="15"/>
  <c r="G88" i="15"/>
  <c r="F112" i="15"/>
  <c r="G107" i="15"/>
  <c r="F104" i="15"/>
  <c r="F96" i="15"/>
  <c r="G91" i="15"/>
  <c r="F88" i="15"/>
  <c r="F115" i="15"/>
  <c r="H113" i="15"/>
  <c r="M112" i="15"/>
  <c r="E112" i="15"/>
  <c r="F107" i="15"/>
  <c r="K106" i="15"/>
  <c r="C106" i="15"/>
  <c r="H105" i="15"/>
  <c r="M104" i="15"/>
  <c r="E104" i="15"/>
  <c r="K98" i="15"/>
  <c r="C98" i="15"/>
  <c r="H97" i="15"/>
  <c r="M96" i="15"/>
  <c r="E96" i="15"/>
  <c r="F91" i="15"/>
  <c r="K90" i="15"/>
  <c r="C90" i="15"/>
  <c r="H89" i="15"/>
  <c r="M88" i="15"/>
  <c r="E88" i="15"/>
  <c r="H116" i="15"/>
  <c r="M115" i="15"/>
  <c r="E115" i="15"/>
  <c r="J114" i="15"/>
  <c r="B114" i="15"/>
  <c r="G113" i="15"/>
  <c r="L112" i="15"/>
  <c r="D112" i="15"/>
  <c r="K109" i="15"/>
  <c r="H108" i="15"/>
  <c r="M107" i="15"/>
  <c r="E107" i="15"/>
  <c r="J106" i="15"/>
  <c r="B106" i="15"/>
  <c r="G105" i="15"/>
  <c r="L104" i="15"/>
  <c r="D104" i="15"/>
  <c r="J98" i="15"/>
  <c r="B98" i="15"/>
  <c r="G97" i="15"/>
  <c r="L96" i="15"/>
  <c r="D96" i="15"/>
  <c r="K93" i="15"/>
  <c r="H92" i="15"/>
  <c r="M91" i="15"/>
  <c r="E91" i="15"/>
  <c r="J90" i="15"/>
  <c r="B90" i="15"/>
  <c r="G89" i="15"/>
  <c r="L88" i="15"/>
  <c r="D88" i="15"/>
  <c r="I115" i="15"/>
  <c r="G116" i="15"/>
  <c r="L115" i="15"/>
  <c r="D115" i="15"/>
  <c r="F113" i="15"/>
  <c r="K112" i="15"/>
  <c r="C112" i="15"/>
  <c r="L107" i="15"/>
  <c r="D107" i="15"/>
  <c r="F105" i="15"/>
  <c r="K104" i="15"/>
  <c r="C104" i="15"/>
  <c r="F97" i="15"/>
  <c r="K96" i="15"/>
  <c r="C96" i="15"/>
  <c r="L91" i="15"/>
  <c r="D91" i="15"/>
  <c r="F89" i="15"/>
  <c r="K88" i="15"/>
  <c r="C88" i="15"/>
  <c r="G115" i="15"/>
  <c r="K115" i="15"/>
  <c r="C115" i="15"/>
  <c r="M113" i="15"/>
  <c r="J112" i="15"/>
  <c r="K107" i="15"/>
  <c r="C107" i="15"/>
  <c r="M105" i="15"/>
  <c r="J104" i="15"/>
  <c r="M97" i="15"/>
  <c r="J96" i="15"/>
  <c r="K91" i="15"/>
  <c r="C91" i="15"/>
  <c r="M89" i="15"/>
  <c r="J88" i="15"/>
  <c r="J115" i="15"/>
  <c r="J107" i="15"/>
  <c r="J91" i="15"/>
  <c r="AP91" i="1"/>
  <c r="Q91" i="1"/>
  <c r="O91" i="1"/>
  <c r="AP90" i="1"/>
  <c r="O90" i="1"/>
  <c r="Q90" i="1"/>
  <c r="Q89" i="1"/>
  <c r="AP88" i="1" l="1"/>
  <c r="AP89" i="1"/>
  <c r="AG89" i="1"/>
  <c r="AI89" i="1" s="1"/>
  <c r="AM89" i="1"/>
  <c r="O89" i="1"/>
  <c r="AG88" i="1"/>
  <c r="AI88" i="1" s="1"/>
  <c r="AM88" i="1"/>
  <c r="Q88" i="1"/>
  <c r="O88" i="1"/>
  <c r="AP87" i="1"/>
  <c r="Q87" i="1"/>
  <c r="AP86" i="1"/>
  <c r="O86" i="1" l="1"/>
  <c r="Q86" i="1"/>
  <c r="BI85" i="1"/>
  <c r="BH85" i="1"/>
  <c r="BG85" i="1"/>
  <c r="BF85" i="1"/>
  <c r="BE85" i="1"/>
  <c r="AP85" i="1"/>
  <c r="AM85" i="1"/>
  <c r="AK85" i="1"/>
  <c r="AG85" i="1"/>
  <c r="AI85" i="1" s="1"/>
  <c r="AF85" i="1"/>
  <c r="S85" i="1"/>
  <c r="Q85" i="1"/>
  <c r="O85" i="1"/>
  <c r="A85" i="1" l="1"/>
  <c r="AP84" i="1" l="1"/>
  <c r="AF84" i="1"/>
  <c r="AG84" i="1"/>
  <c r="AI84" i="1" s="1"/>
  <c r="AK84" i="1"/>
  <c r="AM84" i="1"/>
  <c r="Q84" i="1"/>
  <c r="O84" i="1"/>
  <c r="AP83" i="1" l="1"/>
  <c r="O83" i="1"/>
  <c r="Q83" i="1"/>
  <c r="AP78" i="1" l="1"/>
  <c r="AP75" i="1"/>
  <c r="AP82" i="1"/>
  <c r="Q82" i="1" l="1"/>
  <c r="O82" i="1"/>
  <c r="O81" i="1"/>
  <c r="AK81" i="1"/>
  <c r="AM81" i="1"/>
  <c r="Q81" i="1"/>
  <c r="AP80" i="1"/>
  <c r="AK80" i="1"/>
  <c r="AM80" i="1"/>
  <c r="O80" i="1"/>
  <c r="Q80" i="1"/>
  <c r="O79" i="1" l="1"/>
  <c r="Q79" i="1"/>
  <c r="AI76" i="1"/>
  <c r="AI77" i="1"/>
  <c r="AK76" i="1"/>
  <c r="AM76" i="1"/>
  <c r="AK77" i="1"/>
  <c r="AM77" i="1"/>
  <c r="AK78" i="1"/>
  <c r="AM78" i="1"/>
  <c r="Q78" i="1"/>
  <c r="O78" i="1"/>
  <c r="Q75" i="1" l="1"/>
  <c r="O75" i="1"/>
  <c r="O74" i="1" l="1"/>
  <c r="AP74" i="1"/>
  <c r="Q74" i="1"/>
  <c r="AP73" i="1" l="1"/>
  <c r="Q73" i="1" l="1"/>
  <c r="O73" i="1"/>
  <c r="B12" i="15"/>
  <c r="AP71" i="1"/>
  <c r="AP72" i="1"/>
  <c r="O72" i="1"/>
  <c r="Q72" i="1"/>
  <c r="R21" i="8" l="1"/>
  <c r="S21" i="8"/>
  <c r="T21" i="8"/>
  <c r="U21" i="8"/>
  <c r="V21" i="8"/>
  <c r="W21" i="8"/>
  <c r="X21" i="8"/>
  <c r="Y21" i="8"/>
  <c r="R22" i="8"/>
  <c r="S22" i="8"/>
  <c r="T22" i="8"/>
  <c r="U22" i="8"/>
  <c r="V22" i="8"/>
  <c r="W22" i="8"/>
  <c r="X22" i="8"/>
  <c r="Y22" i="8"/>
  <c r="L22" i="8"/>
  <c r="K22" i="8"/>
  <c r="B22" i="8"/>
  <c r="L21" i="8"/>
  <c r="K21" i="8"/>
  <c r="B21" i="8" l="1"/>
  <c r="Q71" i="1"/>
  <c r="O71" i="1"/>
  <c r="O70" i="1" l="1"/>
  <c r="Q70" i="1"/>
  <c r="AP69" i="1" l="1"/>
  <c r="S69" i="1"/>
  <c r="Q69" i="1"/>
  <c r="O69" i="1"/>
  <c r="AP68" i="1" l="1"/>
  <c r="Q68" i="1"/>
  <c r="O3" i="13" l="1"/>
  <c r="O4" i="13"/>
  <c r="O5" i="13"/>
  <c r="O6" i="13"/>
  <c r="O7" i="13"/>
  <c r="O8" i="13"/>
  <c r="O9" i="13"/>
  <c r="O10" i="13"/>
  <c r="O11" i="13"/>
  <c r="O12" i="13"/>
  <c r="O43" i="13"/>
  <c r="O44" i="13"/>
  <c r="O57" i="13"/>
  <c r="O61" i="13"/>
  <c r="O63" i="13"/>
  <c r="O65" i="13"/>
  <c r="O66" i="13"/>
  <c r="O67" i="13"/>
  <c r="O69" i="13"/>
  <c r="O77" i="13"/>
  <c r="O79" i="13"/>
  <c r="O80" i="13"/>
  <c r="O81" i="13"/>
  <c r="O89" i="13"/>
  <c r="O93" i="13"/>
  <c r="O95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2" i="13"/>
  <c r="N3" i="13"/>
  <c r="N4" i="13"/>
  <c r="N5" i="13"/>
  <c r="N6" i="13"/>
  <c r="N7" i="13"/>
  <c r="N8" i="13"/>
  <c r="N9" i="13"/>
  <c r="N10" i="13"/>
  <c r="N11" i="13"/>
  <c r="N12" i="13"/>
  <c r="N13" i="13"/>
  <c r="N14" i="13"/>
  <c r="N16" i="13"/>
  <c r="N21" i="13"/>
  <c r="N22" i="13"/>
  <c r="N27" i="13"/>
  <c r="N28" i="13"/>
  <c r="N38" i="13"/>
  <c r="N40" i="13"/>
  <c r="N43" i="13"/>
  <c r="N44" i="13"/>
  <c r="N48" i="13"/>
  <c r="N52" i="13"/>
  <c r="N53" i="13"/>
  <c r="N57" i="13"/>
  <c r="N59" i="13"/>
  <c r="N61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2" i="13"/>
  <c r="M3" i="13"/>
  <c r="M4" i="13"/>
  <c r="M5" i="13"/>
  <c r="M6" i="13"/>
  <c r="M7" i="13"/>
  <c r="M8" i="13"/>
  <c r="M9" i="13"/>
  <c r="M10" i="13"/>
  <c r="M11" i="13"/>
  <c r="M12" i="13"/>
  <c r="M13" i="13"/>
  <c r="M14" i="13"/>
  <c r="M16" i="13"/>
  <c r="M21" i="13"/>
  <c r="M22" i="13"/>
  <c r="M27" i="13"/>
  <c r="M28" i="13"/>
  <c r="M38" i="13"/>
  <c r="M40" i="13"/>
  <c r="M43" i="13"/>
  <c r="M44" i="13"/>
  <c r="M45" i="13"/>
  <c r="M46" i="13"/>
  <c r="M48" i="13"/>
  <c r="M52" i="13"/>
  <c r="M53" i="13"/>
  <c r="M56" i="13"/>
  <c r="M57" i="13"/>
  <c r="M58" i="13"/>
  <c r="M59" i="13"/>
  <c r="M61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2" i="13"/>
  <c r="L3" i="13"/>
  <c r="L4" i="13"/>
  <c r="L5" i="13"/>
  <c r="L6" i="13"/>
  <c r="L7" i="13"/>
  <c r="L8" i="13"/>
  <c r="L9" i="13"/>
  <c r="L10" i="13"/>
  <c r="L11" i="13"/>
  <c r="L12" i="13"/>
  <c r="L13" i="13"/>
  <c r="L14" i="13"/>
  <c r="L16" i="13"/>
  <c r="L21" i="13"/>
  <c r="L22" i="13"/>
  <c r="L27" i="13"/>
  <c r="L28" i="13"/>
  <c r="L38" i="13"/>
  <c r="L40" i="13"/>
  <c r="L43" i="13"/>
  <c r="L44" i="13"/>
  <c r="L48" i="13"/>
  <c r="L52" i="13"/>
  <c r="L53" i="13"/>
  <c r="L57" i="13"/>
  <c r="L59" i="13"/>
  <c r="L61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2" i="13"/>
  <c r="L137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2" i="13"/>
  <c r="K3" i="13"/>
  <c r="K4" i="13"/>
  <c r="K5" i="13"/>
  <c r="K6" i="13"/>
  <c r="K7" i="13"/>
  <c r="K8" i="13"/>
  <c r="K9" i="13"/>
  <c r="K10" i="13"/>
  <c r="K11" i="13"/>
  <c r="K12" i="13"/>
  <c r="K13" i="13"/>
  <c r="K14" i="13"/>
  <c r="K16" i="13"/>
  <c r="K21" i="13"/>
  <c r="K22" i="13"/>
  <c r="K27" i="13"/>
  <c r="K28" i="13"/>
  <c r="K38" i="13"/>
  <c r="K40" i="13"/>
  <c r="K43" i="13"/>
  <c r="K44" i="13"/>
  <c r="K48" i="13"/>
  <c r="K52" i="13"/>
  <c r="K53" i="13"/>
  <c r="K57" i="13"/>
  <c r="K59" i="13"/>
  <c r="K61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2" i="13"/>
  <c r="J3" i="13"/>
  <c r="J4" i="13"/>
  <c r="J5" i="13"/>
  <c r="J6" i="13"/>
  <c r="J7" i="13"/>
  <c r="J8" i="13"/>
  <c r="J9" i="13"/>
  <c r="J10" i="13"/>
  <c r="J11" i="13"/>
  <c r="J12" i="13"/>
  <c r="J13" i="13"/>
  <c r="O13" i="13" s="1"/>
  <c r="J14" i="13"/>
  <c r="O14" i="13" s="1"/>
  <c r="J16" i="13"/>
  <c r="O16" i="13" s="1"/>
  <c r="J21" i="13"/>
  <c r="O21" i="13" s="1"/>
  <c r="J22" i="13"/>
  <c r="O22" i="13" s="1"/>
  <c r="J27" i="13"/>
  <c r="O27" i="13" s="1"/>
  <c r="J28" i="13"/>
  <c r="O28" i="13" s="1"/>
  <c r="J38" i="13"/>
  <c r="O38" i="13" s="1"/>
  <c r="J40" i="13"/>
  <c r="O40" i="13" s="1"/>
  <c r="J43" i="13"/>
  <c r="J44" i="13"/>
  <c r="J48" i="13"/>
  <c r="O48" i="13" s="1"/>
  <c r="J52" i="13"/>
  <c r="O52" i="13" s="1"/>
  <c r="J53" i="13"/>
  <c r="O53" i="13" s="1"/>
  <c r="J57" i="13"/>
  <c r="J59" i="13"/>
  <c r="O59" i="13" s="1"/>
  <c r="J61" i="13"/>
  <c r="J63" i="13"/>
  <c r="J64" i="13"/>
  <c r="O64" i="13" s="1"/>
  <c r="J65" i="13"/>
  <c r="J66" i="13"/>
  <c r="J67" i="13"/>
  <c r="J68" i="13"/>
  <c r="O68" i="13" s="1"/>
  <c r="J69" i="13"/>
  <c r="J70" i="13"/>
  <c r="O70" i="13" s="1"/>
  <c r="J71" i="13"/>
  <c r="O71" i="13" s="1"/>
  <c r="J72" i="13"/>
  <c r="O72" i="13" s="1"/>
  <c r="J73" i="13"/>
  <c r="O73" i="13" s="1"/>
  <c r="J74" i="13"/>
  <c r="O74" i="13" s="1"/>
  <c r="J75" i="13"/>
  <c r="O75" i="13" s="1"/>
  <c r="J76" i="13"/>
  <c r="O76" i="13" s="1"/>
  <c r="J77" i="13"/>
  <c r="J78" i="13"/>
  <c r="O78" i="13" s="1"/>
  <c r="J79" i="13"/>
  <c r="J80" i="13"/>
  <c r="J81" i="13"/>
  <c r="J82" i="13"/>
  <c r="O82" i="13" s="1"/>
  <c r="J83" i="13"/>
  <c r="O83" i="13" s="1"/>
  <c r="J84" i="13"/>
  <c r="O84" i="13" s="1"/>
  <c r="J85" i="13"/>
  <c r="O85" i="13" s="1"/>
  <c r="J86" i="13"/>
  <c r="O86" i="13" s="1"/>
  <c r="J87" i="13"/>
  <c r="O87" i="13" s="1"/>
  <c r="J88" i="13"/>
  <c r="O88" i="13" s="1"/>
  <c r="J89" i="13"/>
  <c r="J90" i="13"/>
  <c r="O90" i="13" s="1"/>
  <c r="J91" i="13"/>
  <c r="O91" i="13" s="1"/>
  <c r="J92" i="13"/>
  <c r="O92" i="13" s="1"/>
  <c r="J93" i="13"/>
  <c r="J94" i="13"/>
  <c r="O94" i="13" s="1"/>
  <c r="J95" i="13"/>
  <c r="J96" i="13"/>
  <c r="O96" i="13" s="1"/>
  <c r="J97" i="13"/>
  <c r="O97" i="13" s="1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2" i="13"/>
  <c r="H3" i="13"/>
  <c r="H4" i="13"/>
  <c r="H5" i="13"/>
  <c r="H6" i="13"/>
  <c r="H7" i="13"/>
  <c r="H8" i="13"/>
  <c r="H9" i="13"/>
  <c r="H10" i="13"/>
  <c r="H11" i="13"/>
  <c r="H12" i="13"/>
  <c r="H19" i="13"/>
  <c r="H43" i="13"/>
  <c r="H44" i="13"/>
  <c r="H57" i="13"/>
  <c r="H61" i="13"/>
  <c r="H63" i="13"/>
  <c r="H65" i="13"/>
  <c r="H66" i="13"/>
  <c r="H67" i="13"/>
  <c r="H69" i="13"/>
  <c r="H77" i="13"/>
  <c r="H79" i="13"/>
  <c r="H80" i="13"/>
  <c r="H81" i="13"/>
  <c r="H89" i="13"/>
  <c r="H93" i="13"/>
  <c r="H95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2" i="13"/>
  <c r="B63" i="13"/>
  <c r="C63" i="13" s="1"/>
  <c r="D63" i="13"/>
  <c r="F63" i="13"/>
  <c r="G63" i="13"/>
  <c r="B61" i="13"/>
  <c r="C61" i="13" s="1"/>
  <c r="D61" i="13"/>
  <c r="F61" i="13"/>
  <c r="G61" i="13"/>
  <c r="B57" i="13"/>
  <c r="C57" i="13" s="1"/>
  <c r="D57" i="13"/>
  <c r="F57" i="13"/>
  <c r="G57" i="13"/>
  <c r="B43" i="13"/>
  <c r="C43" i="13" s="1"/>
  <c r="D43" i="13"/>
  <c r="F43" i="13"/>
  <c r="G43" i="13"/>
  <c r="B44" i="13"/>
  <c r="C44" i="13" s="1"/>
  <c r="D44" i="13"/>
  <c r="F44" i="13"/>
  <c r="G44" i="13"/>
  <c r="B2" i="13"/>
  <c r="C2" i="13" s="1"/>
  <c r="D2" i="13"/>
  <c r="F2" i="13"/>
  <c r="G2" i="13"/>
  <c r="B3" i="13"/>
  <c r="C3" i="13" s="1"/>
  <c r="D3" i="13"/>
  <c r="F3" i="13"/>
  <c r="G3" i="13"/>
  <c r="B4" i="13"/>
  <c r="C4" i="13" s="1"/>
  <c r="D4" i="13"/>
  <c r="F4" i="13"/>
  <c r="G4" i="13"/>
  <c r="B5" i="13"/>
  <c r="C5" i="13" s="1"/>
  <c r="D5" i="13"/>
  <c r="F5" i="13"/>
  <c r="G5" i="13"/>
  <c r="B6" i="13"/>
  <c r="C6" i="13" s="1"/>
  <c r="D6" i="13"/>
  <c r="F6" i="13"/>
  <c r="G6" i="13"/>
  <c r="B7" i="13"/>
  <c r="C7" i="13" s="1"/>
  <c r="D7" i="13"/>
  <c r="F7" i="13"/>
  <c r="G7" i="13"/>
  <c r="B8" i="13"/>
  <c r="C8" i="13" s="1"/>
  <c r="D8" i="13"/>
  <c r="F8" i="13"/>
  <c r="G8" i="13"/>
  <c r="B9" i="13"/>
  <c r="C9" i="13" s="1"/>
  <c r="D9" i="13"/>
  <c r="F9" i="13"/>
  <c r="G9" i="13"/>
  <c r="B10" i="13"/>
  <c r="C10" i="13" s="1"/>
  <c r="D10" i="13"/>
  <c r="F10" i="13"/>
  <c r="G10" i="13"/>
  <c r="B11" i="13"/>
  <c r="C11" i="13" s="1"/>
  <c r="D11" i="13"/>
  <c r="F11" i="13"/>
  <c r="G11" i="13"/>
  <c r="B12" i="13"/>
  <c r="C12" i="13" s="1"/>
  <c r="D12" i="13"/>
  <c r="F12" i="13"/>
  <c r="G12" i="13"/>
  <c r="G27" i="13"/>
  <c r="G28" i="13"/>
  <c r="G40" i="13"/>
  <c r="G59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8" i="13"/>
  <c r="F59" i="13"/>
  <c r="F60" i="13"/>
  <c r="F62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D27" i="13"/>
  <c r="H27" i="13" s="1"/>
  <c r="D48" i="13"/>
  <c r="H48" i="13" s="1"/>
  <c r="D65" i="13"/>
  <c r="D66" i="13"/>
  <c r="D67" i="13"/>
  <c r="D69" i="13"/>
  <c r="D77" i="13"/>
  <c r="D79" i="13"/>
  <c r="D80" i="13"/>
  <c r="D81" i="13"/>
  <c r="D86" i="13"/>
  <c r="H86" i="13" s="1"/>
  <c r="D88" i="13"/>
  <c r="H88" i="13" s="1"/>
  <c r="D89" i="13"/>
  <c r="D90" i="13"/>
  <c r="H90" i="13" s="1"/>
  <c r="D91" i="13"/>
  <c r="H91" i="13" s="1"/>
  <c r="D92" i="13"/>
  <c r="H92" i="13" s="1"/>
  <c r="D93" i="13"/>
  <c r="D94" i="13"/>
  <c r="H94" i="13" s="1"/>
  <c r="D95" i="13"/>
  <c r="D96" i="13"/>
  <c r="H96" i="13" s="1"/>
  <c r="D97" i="13"/>
  <c r="H97" i="13" s="1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B65" i="13"/>
  <c r="C65" i="13" s="1"/>
  <c r="B66" i="13"/>
  <c r="C66" i="13" s="1"/>
  <c r="B67" i="13"/>
  <c r="C67" i="13" s="1"/>
  <c r="B69" i="13"/>
  <c r="C69" i="13" s="1"/>
  <c r="B77" i="13"/>
  <c r="C77" i="13" s="1"/>
  <c r="B79" i="13"/>
  <c r="C79" i="13" s="1"/>
  <c r="B80" i="13"/>
  <c r="C80" i="13" s="1"/>
  <c r="B81" i="13"/>
  <c r="C81" i="13" s="1"/>
  <c r="B89" i="13"/>
  <c r="C89" i="13" s="1"/>
  <c r="B90" i="13"/>
  <c r="C90" i="13" s="1"/>
  <c r="B91" i="13"/>
  <c r="C91" i="13" s="1"/>
  <c r="B92" i="13"/>
  <c r="C92" i="13" s="1"/>
  <c r="B93" i="13"/>
  <c r="C93" i="13" s="1"/>
  <c r="B94" i="13"/>
  <c r="C94" i="13" s="1"/>
  <c r="B95" i="13"/>
  <c r="C95" i="13" s="1"/>
  <c r="B96" i="13"/>
  <c r="C96" i="13" s="1"/>
  <c r="B97" i="13"/>
  <c r="C97" i="13" s="1"/>
  <c r="B98" i="13"/>
  <c r="C98" i="13" s="1"/>
  <c r="B99" i="13"/>
  <c r="C99" i="13" s="1"/>
  <c r="B100" i="13"/>
  <c r="C100" i="13" s="1"/>
  <c r="B101" i="13"/>
  <c r="C101" i="13" s="1"/>
  <c r="B102" i="13"/>
  <c r="C102" i="13" s="1"/>
  <c r="B103" i="13"/>
  <c r="C103" i="13" s="1"/>
  <c r="B104" i="13"/>
  <c r="C104" i="13" s="1"/>
  <c r="B105" i="13"/>
  <c r="C105" i="13" s="1"/>
  <c r="B106" i="13"/>
  <c r="C106" i="13" s="1"/>
  <c r="B107" i="13"/>
  <c r="C107" i="13" s="1"/>
  <c r="B108" i="13"/>
  <c r="C108" i="13" s="1"/>
  <c r="B109" i="13"/>
  <c r="C109" i="13" s="1"/>
  <c r="B110" i="13"/>
  <c r="C110" i="13" s="1"/>
  <c r="B111" i="13"/>
  <c r="C111" i="13" s="1"/>
  <c r="B112" i="13"/>
  <c r="C112" i="13" s="1"/>
  <c r="B113" i="13"/>
  <c r="C113" i="13" s="1"/>
  <c r="B114" i="13"/>
  <c r="C114" i="13" s="1"/>
  <c r="B115" i="13"/>
  <c r="C115" i="13" s="1"/>
  <c r="B116" i="13"/>
  <c r="C116" i="13" s="1"/>
  <c r="B117" i="13"/>
  <c r="C117" i="13" s="1"/>
  <c r="B118" i="13"/>
  <c r="C118" i="13" s="1"/>
  <c r="B119" i="13"/>
  <c r="C119" i="13" s="1"/>
  <c r="B120" i="13"/>
  <c r="C120" i="13" s="1"/>
  <c r="B121" i="13"/>
  <c r="C121" i="13" s="1"/>
  <c r="B122" i="13"/>
  <c r="C122" i="13" s="1"/>
  <c r="B123" i="13"/>
  <c r="C123" i="13" s="1"/>
  <c r="B124" i="13"/>
  <c r="C124" i="13" s="1"/>
  <c r="B125" i="13"/>
  <c r="C125" i="13" s="1"/>
  <c r="B126" i="13"/>
  <c r="C126" i="13" s="1"/>
  <c r="B127" i="13"/>
  <c r="C127" i="13" s="1"/>
  <c r="B128" i="13"/>
  <c r="C128" i="13" s="1"/>
  <c r="B129" i="13"/>
  <c r="C129" i="13" s="1"/>
  <c r="B130" i="13"/>
  <c r="C130" i="13" s="1"/>
  <c r="B131" i="13"/>
  <c r="C131" i="13" s="1"/>
  <c r="B132" i="13"/>
  <c r="C132" i="13" s="1"/>
  <c r="B133" i="13"/>
  <c r="C133" i="13" s="1"/>
  <c r="B134" i="13"/>
  <c r="C134" i="13" s="1"/>
  <c r="B135" i="13"/>
  <c r="C135" i="13" s="1"/>
  <c r="B136" i="13"/>
  <c r="C136" i="13" s="1"/>
  <c r="C5" i="11" l="1"/>
  <c r="C20" i="11"/>
  <c r="C28" i="11"/>
  <c r="C49" i="11"/>
  <c r="C66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3" i="11"/>
  <c r="AC42" i="11"/>
  <c r="AC43" i="11"/>
  <c r="AC48" i="11"/>
  <c r="AC50" i="11"/>
  <c r="AC51" i="11"/>
  <c r="AC52" i="11"/>
  <c r="AC55" i="11"/>
  <c r="AC56" i="11"/>
  <c r="AC61" i="11"/>
  <c r="AC63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AC111" i="11"/>
  <c r="AC112" i="11"/>
  <c r="AC113" i="11"/>
  <c r="AC114" i="11"/>
  <c r="AC115" i="11"/>
  <c r="AC116" i="11"/>
  <c r="AC117" i="11"/>
  <c r="AC118" i="11"/>
  <c r="AC119" i="11"/>
  <c r="AC120" i="11"/>
  <c r="AC121" i="11"/>
  <c r="AH40" i="11"/>
  <c r="AH42" i="11"/>
  <c r="AI42" i="11" s="1"/>
  <c r="M41" i="13" s="1"/>
  <c r="AH43" i="11"/>
  <c r="AI43" i="11" s="1"/>
  <c r="M42" i="13" s="1"/>
  <c r="AH48" i="11"/>
  <c r="AI48" i="11" s="1"/>
  <c r="M47" i="13" s="1"/>
  <c r="AH50" i="11"/>
  <c r="AI50" i="11" s="1"/>
  <c r="M49" i="13" s="1"/>
  <c r="AH51" i="11"/>
  <c r="AH52" i="11"/>
  <c r="AH55" i="11"/>
  <c r="AH56" i="11"/>
  <c r="AH61" i="11"/>
  <c r="AI61" i="11" s="1"/>
  <c r="M60" i="13" s="1"/>
  <c r="AH63" i="11"/>
  <c r="AI63" i="11" s="1"/>
  <c r="M62" i="13" s="1"/>
  <c r="AH65" i="11"/>
  <c r="AI65" i="11" s="1"/>
  <c r="AH66" i="11"/>
  <c r="AI66" i="11" s="1"/>
  <c r="AH67" i="11"/>
  <c r="AI67" i="11" s="1"/>
  <c r="AH68" i="11"/>
  <c r="AI68" i="11" s="1"/>
  <c r="AH69" i="11"/>
  <c r="AI69" i="11" s="1"/>
  <c r="AH70" i="11"/>
  <c r="AI70" i="11" s="1"/>
  <c r="AH71" i="11"/>
  <c r="AI71" i="11" s="1"/>
  <c r="AH72" i="11"/>
  <c r="AI72" i="11" s="1"/>
  <c r="AH73" i="11"/>
  <c r="AI73" i="11" s="1"/>
  <c r="AH74" i="11"/>
  <c r="AI74" i="11" s="1"/>
  <c r="AH75" i="11"/>
  <c r="AI75" i="11" s="1"/>
  <c r="AH76" i="11"/>
  <c r="AI76" i="11" s="1"/>
  <c r="AH77" i="11"/>
  <c r="AI77" i="11" s="1"/>
  <c r="AH78" i="11"/>
  <c r="AI78" i="11" s="1"/>
  <c r="AH79" i="11"/>
  <c r="AI79" i="11" s="1"/>
  <c r="AH80" i="11"/>
  <c r="AI80" i="11" s="1"/>
  <c r="AH81" i="11"/>
  <c r="AI81" i="11" s="1"/>
  <c r="AH82" i="11"/>
  <c r="AI82" i="11" s="1"/>
  <c r="AH83" i="11"/>
  <c r="AI83" i="11" s="1"/>
  <c r="AH84" i="11"/>
  <c r="AI84" i="11" s="1"/>
  <c r="AH85" i="11"/>
  <c r="AI85" i="11" s="1"/>
  <c r="AH86" i="11"/>
  <c r="AI86" i="11" s="1"/>
  <c r="AH87" i="11"/>
  <c r="AI87" i="11" s="1"/>
  <c r="AH88" i="11"/>
  <c r="AI88" i="11" s="1"/>
  <c r="AH89" i="11"/>
  <c r="AI89" i="11" s="1"/>
  <c r="AH90" i="11"/>
  <c r="AI90" i="11" s="1"/>
  <c r="AH91" i="11"/>
  <c r="AI91" i="11" s="1"/>
  <c r="AH92" i="11"/>
  <c r="AI92" i="11" s="1"/>
  <c r="AH93" i="11"/>
  <c r="AI93" i="11" s="1"/>
  <c r="AH94" i="11"/>
  <c r="AI94" i="11" s="1"/>
  <c r="AH95" i="11"/>
  <c r="AI95" i="11" s="1"/>
  <c r="AH96" i="11"/>
  <c r="AI96" i="11" s="1"/>
  <c r="AH97" i="11"/>
  <c r="AI97" i="11" s="1"/>
  <c r="AH98" i="11"/>
  <c r="AI98" i="11" s="1"/>
  <c r="AH99" i="11"/>
  <c r="AI99" i="11" s="1"/>
  <c r="AH100" i="11"/>
  <c r="AI100" i="11" s="1"/>
  <c r="AH101" i="11"/>
  <c r="AI101" i="11" s="1"/>
  <c r="AH102" i="11"/>
  <c r="AI102" i="11" s="1"/>
  <c r="AH103" i="11"/>
  <c r="AI103" i="11" s="1"/>
  <c r="AH104" i="11"/>
  <c r="AI104" i="11" s="1"/>
  <c r="AH105" i="11"/>
  <c r="AI105" i="11" s="1"/>
  <c r="AH106" i="11"/>
  <c r="AI106" i="11" s="1"/>
  <c r="AH107" i="11"/>
  <c r="AI107" i="11" s="1"/>
  <c r="AH108" i="11"/>
  <c r="AI108" i="11" s="1"/>
  <c r="AH109" i="11"/>
  <c r="AI109" i="11" s="1"/>
  <c r="AH110" i="11"/>
  <c r="AI110" i="11" s="1"/>
  <c r="AH111" i="11"/>
  <c r="AI111" i="11" s="1"/>
  <c r="AH112" i="11"/>
  <c r="AI112" i="11" s="1"/>
  <c r="AH113" i="11"/>
  <c r="AI113" i="11" s="1"/>
  <c r="AH114" i="11"/>
  <c r="AI114" i="11" s="1"/>
  <c r="AH115" i="11"/>
  <c r="AI115" i="11" s="1"/>
  <c r="AH116" i="11"/>
  <c r="AI116" i="11" s="1"/>
  <c r="AH117" i="11"/>
  <c r="AI117" i="11" s="1"/>
  <c r="AH118" i="11"/>
  <c r="AI118" i="11" s="1"/>
  <c r="AH119" i="11"/>
  <c r="AI119" i="11" s="1"/>
  <c r="AH120" i="11"/>
  <c r="AI120" i="11" s="1"/>
  <c r="AH121" i="11"/>
  <c r="AI121" i="11" s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3" i="11"/>
  <c r="AI56" i="11" l="1"/>
  <c r="M55" i="13" s="1"/>
  <c r="AI55" i="11"/>
  <c r="M54" i="13" s="1"/>
  <c r="AI52" i="11"/>
  <c r="M51" i="13" s="1"/>
  <c r="AI51" i="11"/>
  <c r="M50" i="13" s="1"/>
  <c r="AP67" i="1"/>
  <c r="Q67" i="1" l="1"/>
  <c r="O67" i="1"/>
  <c r="AP66" i="1" l="1"/>
  <c r="Q66" i="1"/>
  <c r="O66" i="1"/>
  <c r="AI53" i="13" l="1"/>
  <c r="AK53" i="13" s="1"/>
  <c r="G62" i="13"/>
  <c r="AP65" i="1"/>
  <c r="S65" i="1"/>
  <c r="C62" i="11" s="1"/>
  <c r="Q65" i="1"/>
  <c r="AP64" i="1"/>
  <c r="Q64" i="1"/>
  <c r="O64" i="1"/>
  <c r="Q63" i="1"/>
  <c r="AQ53" i="13" l="1"/>
  <c r="AS53" i="13" s="1"/>
  <c r="G60" i="13"/>
  <c r="AP62" i="1"/>
  <c r="G58" i="13" s="1"/>
  <c r="Q62" i="1"/>
  <c r="O62" i="1"/>
  <c r="O61" i="1"/>
  <c r="Q61" i="1"/>
  <c r="AN60" i="1"/>
  <c r="AP60" i="1" s="1"/>
  <c r="G56" i="13" s="1"/>
  <c r="Q60" i="1"/>
  <c r="O60" i="1"/>
  <c r="AP59" i="1" l="1"/>
  <c r="O59" i="1"/>
  <c r="S59" i="1"/>
  <c r="Q59" i="1"/>
  <c r="AP58" i="1"/>
  <c r="AQ46" i="13" l="1"/>
  <c r="AS46" i="13" s="1"/>
  <c r="G54" i="13"/>
  <c r="G55" i="13"/>
  <c r="AQ44" i="13"/>
  <c r="AS44" i="13" s="1"/>
  <c r="AP44" i="13"/>
  <c r="AR44" i="13" s="1"/>
  <c r="D55" i="13"/>
  <c r="H55" i="13" s="1"/>
  <c r="C56" i="11"/>
  <c r="Q58" i="1"/>
  <c r="O58" i="1"/>
  <c r="AL6" i="1" l="1"/>
  <c r="AK6" i="1"/>
  <c r="AP56" i="1"/>
  <c r="G52" i="13" s="1"/>
  <c r="G53" i="13"/>
  <c r="AK57" i="1"/>
  <c r="O56" i="1"/>
  <c r="AP55" i="1" l="1"/>
  <c r="Q55" i="1"/>
  <c r="O55" i="1"/>
  <c r="AQ49" i="13" l="1"/>
  <c r="AS49" i="13" s="1"/>
  <c r="G51" i="13"/>
  <c r="AP54" i="1"/>
  <c r="AQ51" i="13" l="1"/>
  <c r="AS51" i="13" s="1"/>
  <c r="G50" i="13"/>
  <c r="AP53" i="1"/>
  <c r="Q53" i="1"/>
  <c r="O53" i="1"/>
  <c r="AQ47" i="13" l="1"/>
  <c r="AS47" i="13" s="1"/>
  <c r="G49" i="13"/>
  <c r="AP52" i="1"/>
  <c r="G48" i="13" s="1"/>
  <c r="O52" i="1"/>
  <c r="AP51" i="1" l="1"/>
  <c r="AQ48" i="13" l="1"/>
  <c r="AS48" i="13" s="1"/>
  <c r="G47" i="13"/>
  <c r="Q51" i="1"/>
  <c r="AP50" i="1" l="1"/>
  <c r="G46" i="13" s="1"/>
  <c r="Q50" i="1" l="1"/>
  <c r="AP49" i="1" l="1"/>
  <c r="G45" i="13" s="1"/>
  <c r="Q49" i="1"/>
  <c r="Q48" i="1" l="1"/>
  <c r="Q47" i="1" l="1"/>
  <c r="O47" i="1"/>
  <c r="AP46" i="1" l="1"/>
  <c r="AQ45" i="13" l="1"/>
  <c r="AS45" i="13" s="1"/>
  <c r="G42" i="13"/>
  <c r="Q46" i="1"/>
  <c r="AM47" i="13" l="1"/>
  <c r="AM48" i="13"/>
  <c r="AM49" i="13"/>
  <c r="AM50" i="13"/>
  <c r="AM51" i="13"/>
  <c r="AM52" i="13"/>
  <c r="AM46" i="13"/>
  <c r="AP45" i="1" l="1"/>
  <c r="G41" i="13" s="1"/>
  <c r="Q45" i="1" l="1"/>
  <c r="O45" i="1"/>
  <c r="O44" i="1" l="1"/>
  <c r="Q44" i="1"/>
  <c r="AP43" i="1"/>
  <c r="O43" i="1"/>
  <c r="Q43" i="1"/>
  <c r="AI52" i="13" l="1"/>
  <c r="AK52" i="13" s="1"/>
  <c r="G39" i="13"/>
  <c r="AP42" i="1"/>
  <c r="G38" i="13" s="1"/>
  <c r="O42" i="1"/>
  <c r="Q42" i="1"/>
  <c r="AP41" i="1" l="1"/>
  <c r="Q41" i="1"/>
  <c r="AI50" i="13" l="1"/>
  <c r="AK50" i="13" s="1"/>
  <c r="G37" i="13"/>
  <c r="AP40" i="1"/>
  <c r="G36" i="13" s="1"/>
  <c r="O40" i="1"/>
  <c r="Q40" i="1"/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2" i="15"/>
  <c r="B3" i="15"/>
  <c r="B4" i="15"/>
  <c r="B5" i="15"/>
  <c r="B6" i="15"/>
  <c r="B7" i="15"/>
  <c r="B8" i="15"/>
  <c r="B9" i="15"/>
  <c r="B10" i="15"/>
  <c r="B11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2" i="15"/>
  <c r="AP39" i="1"/>
  <c r="G35" i="13" s="1"/>
  <c r="O39" i="1" l="1"/>
  <c r="Q39" i="1"/>
  <c r="AP38" i="1" l="1"/>
  <c r="Q38" i="1"/>
  <c r="AP37" i="1"/>
  <c r="AI37" i="13" l="1"/>
  <c r="AK37" i="13" s="1"/>
  <c r="G33" i="13"/>
  <c r="AI51" i="13"/>
  <c r="AK51" i="13" s="1"/>
  <c r="G34" i="13"/>
  <c r="Q37" i="1"/>
  <c r="AP36" i="1" l="1"/>
  <c r="AI47" i="13" l="1"/>
  <c r="AK47" i="13" s="1"/>
  <c r="G32" i="13"/>
  <c r="AP35" i="1"/>
  <c r="AI46" i="13" l="1"/>
  <c r="AK46" i="13" s="1"/>
  <c r="G31" i="13"/>
  <c r="Q35" i="1"/>
  <c r="AP34" i="1" l="1"/>
  <c r="Q34" i="1"/>
  <c r="AI49" i="13" l="1"/>
  <c r="AK49" i="13" s="1"/>
  <c r="G30" i="13"/>
  <c r="AP33" i="1"/>
  <c r="AI48" i="13" l="1"/>
  <c r="AK48" i="13" s="1"/>
  <c r="G29" i="13"/>
  <c r="D19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C31" i="14" l="1"/>
  <c r="K24" i="14"/>
  <c r="K27" i="14"/>
  <c r="K29" i="14"/>
  <c r="K30" i="14"/>
  <c r="W16" i="11"/>
  <c r="W18" i="11"/>
  <c r="W19" i="11"/>
  <c r="W20" i="11"/>
  <c r="W21" i="11"/>
  <c r="W24" i="11"/>
  <c r="W25" i="11"/>
  <c r="W26" i="11"/>
  <c r="W27" i="11"/>
  <c r="W30" i="11"/>
  <c r="W31" i="11"/>
  <c r="W32" i="11"/>
  <c r="W33" i="11"/>
  <c r="W34" i="11"/>
  <c r="W35" i="11"/>
  <c r="W36" i="11"/>
  <c r="W37" i="11"/>
  <c r="W38" i="11"/>
  <c r="W40" i="11"/>
  <c r="W42" i="11"/>
  <c r="W43" i="11"/>
  <c r="W46" i="11"/>
  <c r="W47" i="11"/>
  <c r="W48" i="11"/>
  <c r="W50" i="11"/>
  <c r="W51" i="11"/>
  <c r="W52" i="11"/>
  <c r="W55" i="11"/>
  <c r="W56" i="11"/>
  <c r="W57" i="11"/>
  <c r="W59" i="11"/>
  <c r="W61" i="11"/>
  <c r="W63" i="11"/>
  <c r="W65" i="11"/>
  <c r="X65" i="11" s="1"/>
  <c r="W66" i="11"/>
  <c r="X66" i="11" s="1"/>
  <c r="W67" i="11"/>
  <c r="X67" i="11" s="1"/>
  <c r="W68" i="11"/>
  <c r="X68" i="11" s="1"/>
  <c r="T16" i="11"/>
  <c r="T18" i="11"/>
  <c r="T19" i="11"/>
  <c r="T20" i="11"/>
  <c r="T21" i="11"/>
  <c r="T24" i="11"/>
  <c r="T25" i="11"/>
  <c r="T26" i="11"/>
  <c r="T27" i="11"/>
  <c r="T30" i="11"/>
  <c r="T31" i="11"/>
  <c r="T32" i="11"/>
  <c r="T33" i="11"/>
  <c r="T34" i="11"/>
  <c r="T35" i="11"/>
  <c r="T36" i="11"/>
  <c r="T37" i="11"/>
  <c r="T38" i="11"/>
  <c r="T40" i="11"/>
  <c r="T42" i="11"/>
  <c r="T43" i="11"/>
  <c r="T46" i="11"/>
  <c r="T47" i="11"/>
  <c r="T48" i="11"/>
  <c r="T50" i="11"/>
  <c r="T51" i="11"/>
  <c r="T52" i="11"/>
  <c r="T55" i="11"/>
  <c r="T56" i="11"/>
  <c r="T57" i="11"/>
  <c r="T59" i="11"/>
  <c r="T61" i="11"/>
  <c r="T63" i="11"/>
  <c r="T65" i="11"/>
  <c r="T66" i="11"/>
  <c r="T67" i="11"/>
  <c r="T68" i="11"/>
  <c r="K22" i="14"/>
  <c r="K21" i="14"/>
  <c r="X63" i="11" l="1"/>
  <c r="L62" i="13" s="1"/>
  <c r="X61" i="11"/>
  <c r="L60" i="13" s="1"/>
  <c r="X59" i="11"/>
  <c r="L58" i="13" s="1"/>
  <c r="X57" i="11"/>
  <c r="L56" i="13" s="1"/>
  <c r="X56" i="11"/>
  <c r="L55" i="13" s="1"/>
  <c r="X55" i="11"/>
  <c r="L54" i="13" s="1"/>
  <c r="X52" i="11"/>
  <c r="L51" i="13" s="1"/>
  <c r="X51" i="11"/>
  <c r="L50" i="13" s="1"/>
  <c r="X50" i="11"/>
  <c r="L49" i="13" s="1"/>
  <c r="X48" i="11"/>
  <c r="L47" i="13" s="1"/>
  <c r="X47" i="11"/>
  <c r="L46" i="13" s="1"/>
  <c r="X46" i="11"/>
  <c r="L45" i="13" s="1"/>
  <c r="X43" i="11"/>
  <c r="L42" i="13" s="1"/>
  <c r="X42" i="11"/>
  <c r="L41" i="13" s="1"/>
  <c r="X40" i="11"/>
  <c r="L39" i="13" s="1"/>
  <c r="X37" i="11"/>
  <c r="L36" i="13" s="1"/>
  <c r="X38" i="11"/>
  <c r="L37" i="13" s="1"/>
  <c r="X36" i="11"/>
  <c r="L35" i="13" s="1"/>
  <c r="X35" i="11"/>
  <c r="L34" i="13" s="1"/>
  <c r="X34" i="11"/>
  <c r="L33" i="13" s="1"/>
  <c r="X33" i="11"/>
  <c r="L32" i="13" s="1"/>
  <c r="X32" i="11"/>
  <c r="L31" i="13" s="1"/>
  <c r="X31" i="11"/>
  <c r="L30" i="13" s="1"/>
  <c r="X30" i="11"/>
  <c r="L29" i="13" s="1"/>
  <c r="X27" i="11"/>
  <c r="X26" i="11"/>
  <c r="X25" i="11"/>
  <c r="X24" i="11"/>
  <c r="X21" i="11"/>
  <c r="X20" i="11"/>
  <c r="X19" i="11"/>
  <c r="X18" i="11"/>
  <c r="L17" i="13" s="1"/>
  <c r="X16" i="11"/>
  <c r="S11" i="12"/>
  <c r="I11" i="14" s="1"/>
  <c r="J11" i="14" s="1"/>
  <c r="S12" i="12"/>
  <c r="I12" i="14" s="1"/>
  <c r="J12" i="14" s="1"/>
  <c r="S13" i="12"/>
  <c r="I13" i="14" s="1"/>
  <c r="J13" i="14" s="1"/>
  <c r="S14" i="12"/>
  <c r="I14" i="14" s="1"/>
  <c r="J14" i="14" s="1"/>
  <c r="S15" i="12"/>
  <c r="I15" i="14" s="1"/>
  <c r="J15" i="14" s="1"/>
  <c r="S16" i="12"/>
  <c r="I16" i="14" s="1"/>
  <c r="J16" i="14" s="1"/>
  <c r="S17" i="12"/>
  <c r="I17" i="14" s="1"/>
  <c r="J17" i="14" s="1"/>
  <c r="S18" i="12"/>
  <c r="I18" i="14" s="1"/>
  <c r="J18" i="14" s="1"/>
  <c r="S19" i="12"/>
  <c r="I19" i="14" s="1"/>
  <c r="J19" i="14" s="1"/>
  <c r="S20" i="12"/>
  <c r="I20" i="14" s="1"/>
  <c r="J20" i="14" s="1"/>
  <c r="S21" i="12"/>
  <c r="S22" i="12"/>
  <c r="I21" i="14"/>
  <c r="J21" i="14" s="1"/>
  <c r="I22" i="14"/>
  <c r="J22" i="14" s="1"/>
  <c r="Q16" i="11"/>
  <c r="I24" i="14"/>
  <c r="J24" i="14" s="1"/>
  <c r="Q18" i="11"/>
  <c r="Q19" i="11"/>
  <c r="Q20" i="11"/>
  <c r="Q21" i="11"/>
  <c r="I29" i="14"/>
  <c r="J29" i="14" s="1"/>
  <c r="I30" i="14"/>
  <c r="J30" i="14" s="1"/>
  <c r="Q24" i="11"/>
  <c r="Q25" i="11"/>
  <c r="Q26" i="11"/>
  <c r="Q27" i="11"/>
  <c r="Q30" i="11"/>
  <c r="K29" i="13" s="1"/>
  <c r="Q31" i="11"/>
  <c r="K30" i="13" s="1"/>
  <c r="Q32" i="11"/>
  <c r="K31" i="13" s="1"/>
  <c r="Q33" i="11"/>
  <c r="K32" i="13" s="1"/>
  <c r="Q34" i="11"/>
  <c r="K33" i="13" s="1"/>
  <c r="Q35" i="11"/>
  <c r="K34" i="13" s="1"/>
  <c r="Q36" i="11"/>
  <c r="K35" i="13" s="1"/>
  <c r="Q37" i="11"/>
  <c r="K36" i="13" s="1"/>
  <c r="Q38" i="11"/>
  <c r="K37" i="13" s="1"/>
  <c r="Q40" i="11"/>
  <c r="K39" i="13" s="1"/>
  <c r="Q42" i="11"/>
  <c r="K41" i="13" s="1"/>
  <c r="Q43" i="11"/>
  <c r="K42" i="13" s="1"/>
  <c r="Q46" i="11"/>
  <c r="K45" i="13" s="1"/>
  <c r="Q47" i="11"/>
  <c r="K46" i="13" s="1"/>
  <c r="Q48" i="11"/>
  <c r="K47" i="13" s="1"/>
  <c r="Q50" i="11"/>
  <c r="K49" i="13" s="1"/>
  <c r="Q51" i="11"/>
  <c r="K50" i="13" s="1"/>
  <c r="Q52" i="11"/>
  <c r="K51" i="13" s="1"/>
  <c r="Q55" i="11"/>
  <c r="K54" i="13" s="1"/>
  <c r="Q56" i="11"/>
  <c r="K55" i="13" s="1"/>
  <c r="Q57" i="11"/>
  <c r="K56" i="13" s="1"/>
  <c r="Q59" i="11"/>
  <c r="K58" i="13" s="1"/>
  <c r="Q61" i="11"/>
  <c r="K60" i="13" s="1"/>
  <c r="Q63" i="11"/>
  <c r="K62" i="13" s="1"/>
  <c r="Q65" i="11"/>
  <c r="Q66" i="11"/>
  <c r="Q67" i="11"/>
  <c r="Q68" i="11"/>
  <c r="E21" i="14"/>
  <c r="E22" i="14"/>
  <c r="P16" i="11"/>
  <c r="E24" i="14"/>
  <c r="P18" i="11"/>
  <c r="P19" i="11"/>
  <c r="P20" i="11"/>
  <c r="P21" i="11"/>
  <c r="E29" i="14"/>
  <c r="E30" i="14"/>
  <c r="P24" i="11"/>
  <c r="P25" i="11"/>
  <c r="J24" i="13" s="1"/>
  <c r="P26" i="11"/>
  <c r="P27" i="11"/>
  <c r="P30" i="11"/>
  <c r="J29" i="13" s="1"/>
  <c r="P31" i="11"/>
  <c r="J30" i="13" s="1"/>
  <c r="P32" i="11"/>
  <c r="J31" i="13" s="1"/>
  <c r="P33" i="11"/>
  <c r="J32" i="13" s="1"/>
  <c r="P34" i="11"/>
  <c r="J33" i="13" s="1"/>
  <c r="P35" i="11"/>
  <c r="J34" i="13" s="1"/>
  <c r="P36" i="11"/>
  <c r="J35" i="13" s="1"/>
  <c r="P37" i="11"/>
  <c r="J36" i="13" s="1"/>
  <c r="P38" i="11"/>
  <c r="J37" i="13" s="1"/>
  <c r="P40" i="11"/>
  <c r="J39" i="13" s="1"/>
  <c r="P42" i="11"/>
  <c r="J41" i="13" s="1"/>
  <c r="P43" i="11"/>
  <c r="J42" i="13" s="1"/>
  <c r="P46" i="11"/>
  <c r="J45" i="13" s="1"/>
  <c r="P47" i="11"/>
  <c r="J46" i="13" s="1"/>
  <c r="P48" i="11"/>
  <c r="J47" i="13" s="1"/>
  <c r="P50" i="11"/>
  <c r="J49" i="13" s="1"/>
  <c r="P51" i="11"/>
  <c r="J50" i="13" s="1"/>
  <c r="P52" i="11"/>
  <c r="J51" i="13" s="1"/>
  <c r="P55" i="11"/>
  <c r="J54" i="13" s="1"/>
  <c r="P56" i="11"/>
  <c r="J55" i="13" s="1"/>
  <c r="P57" i="11"/>
  <c r="J56" i="13" s="1"/>
  <c r="P59" i="11"/>
  <c r="J58" i="13" s="1"/>
  <c r="P61" i="11"/>
  <c r="J60" i="13" s="1"/>
  <c r="P63" i="11"/>
  <c r="J62" i="13" s="1"/>
  <c r="P65" i="11"/>
  <c r="P66" i="11"/>
  <c r="P67" i="11"/>
  <c r="P68" i="11"/>
  <c r="G21" i="14"/>
  <c r="G22" i="14"/>
  <c r="G24" i="14"/>
  <c r="G27" i="14"/>
  <c r="G29" i="14"/>
  <c r="G30" i="14"/>
  <c r="H21" i="14"/>
  <c r="H22" i="14"/>
  <c r="H24" i="14"/>
  <c r="H27" i="14"/>
  <c r="H29" i="14"/>
  <c r="H30" i="14"/>
  <c r="R11" i="12"/>
  <c r="R12" i="12"/>
  <c r="R13" i="12"/>
  <c r="R14" i="12"/>
  <c r="R15" i="12"/>
  <c r="R16" i="12"/>
  <c r="R17" i="12"/>
  <c r="R18" i="12"/>
  <c r="R19" i="12"/>
  <c r="R20" i="12"/>
  <c r="R21" i="12"/>
  <c r="R22" i="12"/>
  <c r="H32" i="14"/>
  <c r="C22" i="14"/>
  <c r="C23" i="14"/>
  <c r="C24" i="14"/>
  <c r="C25" i="14"/>
  <c r="C26" i="14"/>
  <c r="C27" i="14"/>
  <c r="C28" i="14"/>
  <c r="C29" i="14"/>
  <c r="C30" i="14"/>
  <c r="C32" i="14"/>
  <c r="C33" i="14"/>
  <c r="C34" i="14"/>
  <c r="C21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" i="14"/>
  <c r="B2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" i="14"/>
  <c r="B28" i="12"/>
  <c r="B27" i="12"/>
  <c r="AB22" i="12"/>
  <c r="V22" i="12"/>
  <c r="U22" i="12"/>
  <c r="N22" i="12"/>
  <c r="J22" i="12"/>
  <c r="H22" i="12"/>
  <c r="AB21" i="12"/>
  <c r="V21" i="12"/>
  <c r="U21" i="12"/>
  <c r="N21" i="12"/>
  <c r="J21" i="12"/>
  <c r="H21" i="12"/>
  <c r="AB20" i="12"/>
  <c r="V20" i="12"/>
  <c r="U20" i="12"/>
  <c r="N20" i="12"/>
  <c r="J20" i="12"/>
  <c r="H20" i="12"/>
  <c r="AB19" i="12"/>
  <c r="V19" i="12"/>
  <c r="U19" i="12"/>
  <c r="N19" i="12"/>
  <c r="J19" i="12"/>
  <c r="H19" i="12"/>
  <c r="AB18" i="12"/>
  <c r="U18" i="12"/>
  <c r="T18" i="12"/>
  <c r="V18" i="12" s="1"/>
  <c r="N18" i="12"/>
  <c r="J18" i="12"/>
  <c r="H18" i="12"/>
  <c r="AB17" i="12"/>
  <c r="V17" i="12"/>
  <c r="U17" i="12"/>
  <c r="N17" i="12"/>
  <c r="J17" i="12"/>
  <c r="H17" i="12"/>
  <c r="AB16" i="12"/>
  <c r="V16" i="12"/>
  <c r="U16" i="12"/>
  <c r="N16" i="12"/>
  <c r="J16" i="12"/>
  <c r="H16" i="12"/>
  <c r="AB15" i="12"/>
  <c r="V15" i="12"/>
  <c r="U15" i="12"/>
  <c r="N15" i="12"/>
  <c r="J15" i="12"/>
  <c r="H15" i="12"/>
  <c r="AB14" i="12"/>
  <c r="V14" i="12"/>
  <c r="U14" i="12"/>
  <c r="N14" i="12"/>
  <c r="J14" i="12"/>
  <c r="H14" i="12"/>
  <c r="AB13" i="12"/>
  <c r="V13" i="12"/>
  <c r="U13" i="12"/>
  <c r="N13" i="12"/>
  <c r="J13" i="12"/>
  <c r="H13" i="12"/>
  <c r="AB12" i="12"/>
  <c r="V12" i="12"/>
  <c r="U12" i="12"/>
  <c r="N12" i="12"/>
  <c r="J12" i="12"/>
  <c r="H12" i="12"/>
  <c r="AB11" i="12"/>
  <c r="V11" i="12"/>
  <c r="U11" i="12"/>
  <c r="N11" i="12"/>
  <c r="J11" i="12"/>
  <c r="H11" i="12"/>
  <c r="AB10" i="12"/>
  <c r="T10" i="12"/>
  <c r="Q10" i="12"/>
  <c r="N10" i="12"/>
  <c r="J10" i="12"/>
  <c r="H10" i="12"/>
  <c r="AB9" i="12"/>
  <c r="T9" i="12"/>
  <c r="V9" i="12" s="1"/>
  <c r="Q9" i="12"/>
  <c r="N9" i="12"/>
  <c r="J9" i="12"/>
  <c r="H9" i="12"/>
  <c r="AB8" i="12"/>
  <c r="T8" i="12"/>
  <c r="V8" i="12" s="1"/>
  <c r="Q8" i="12"/>
  <c r="N8" i="12"/>
  <c r="J8" i="12"/>
  <c r="H8" i="12"/>
  <c r="AB7" i="12"/>
  <c r="T7" i="12"/>
  <c r="Q7" i="12"/>
  <c r="N7" i="12"/>
  <c r="J7" i="12"/>
  <c r="H7" i="12"/>
  <c r="AB6" i="12"/>
  <c r="T6" i="12"/>
  <c r="V6" i="12" s="1"/>
  <c r="Q6" i="12"/>
  <c r="N6" i="12"/>
  <c r="J6" i="12"/>
  <c r="H6" i="12"/>
  <c r="AB5" i="12"/>
  <c r="T5" i="12"/>
  <c r="V5" i="12" s="1"/>
  <c r="Q5" i="12"/>
  <c r="N5" i="12"/>
  <c r="J5" i="12"/>
  <c r="H5" i="12"/>
  <c r="AB4" i="12"/>
  <c r="T4" i="12"/>
  <c r="V4" i="12" s="1"/>
  <c r="Q4" i="12"/>
  <c r="N4" i="12"/>
  <c r="J4" i="12"/>
  <c r="H4" i="12"/>
  <c r="AB3" i="12"/>
  <c r="T3" i="12"/>
  <c r="Q3" i="12"/>
  <c r="N3" i="12"/>
  <c r="J3" i="12"/>
  <c r="H3" i="12"/>
  <c r="T2" i="12"/>
  <c r="V2" i="12" s="1"/>
  <c r="Q2" i="12"/>
  <c r="N2" i="12"/>
  <c r="J2" i="12"/>
  <c r="H2" i="12"/>
  <c r="A43" i="14" l="1"/>
  <c r="K26" i="14" s="1"/>
  <c r="L18" i="13"/>
  <c r="E26" i="14"/>
  <c r="H26" i="14" s="1"/>
  <c r="J18" i="13"/>
  <c r="A44" i="14"/>
  <c r="L19" i="13"/>
  <c r="E25" i="14"/>
  <c r="H25" i="14" s="1"/>
  <c r="J17" i="13"/>
  <c r="A45" i="14"/>
  <c r="K28" i="14" s="1"/>
  <c r="L20" i="13"/>
  <c r="E28" i="14"/>
  <c r="H28" i="14" s="1"/>
  <c r="J20" i="13"/>
  <c r="I34" i="14"/>
  <c r="J34" i="14" s="1"/>
  <c r="K26" i="13"/>
  <c r="A48" i="14"/>
  <c r="K31" i="14" s="1"/>
  <c r="L23" i="13"/>
  <c r="I33" i="14"/>
  <c r="J33" i="14" s="1"/>
  <c r="K25" i="13"/>
  <c r="A49" i="14"/>
  <c r="K32" i="14" s="1"/>
  <c r="L24" i="13"/>
  <c r="I32" i="14"/>
  <c r="J32" i="14" s="1"/>
  <c r="K24" i="13"/>
  <c r="A50" i="14"/>
  <c r="K33" i="14" s="1"/>
  <c r="L25" i="13"/>
  <c r="I31" i="14"/>
  <c r="J31" i="14" s="1"/>
  <c r="K23" i="13"/>
  <c r="A51" i="14"/>
  <c r="K34" i="14" s="1"/>
  <c r="L26" i="13"/>
  <c r="E23" i="14"/>
  <c r="H23" i="14" s="1"/>
  <c r="J15" i="13"/>
  <c r="E34" i="14"/>
  <c r="H34" i="14" s="1"/>
  <c r="J26" i="13"/>
  <c r="I28" i="14"/>
  <c r="J28" i="14" s="1"/>
  <c r="K20" i="13"/>
  <c r="E33" i="14"/>
  <c r="H33" i="14" s="1"/>
  <c r="J25" i="13"/>
  <c r="I27" i="14"/>
  <c r="J27" i="14" s="1"/>
  <c r="K19" i="13"/>
  <c r="E27" i="14"/>
  <c r="J19" i="13"/>
  <c r="I26" i="14"/>
  <c r="J26" i="14" s="1"/>
  <c r="K18" i="13"/>
  <c r="E31" i="14"/>
  <c r="H31" i="14" s="1"/>
  <c r="J23" i="13"/>
  <c r="I25" i="14"/>
  <c r="J25" i="14" s="1"/>
  <c r="K17" i="13"/>
  <c r="A42" i="14"/>
  <c r="K25" i="14" s="1"/>
  <c r="I23" i="14"/>
  <c r="J23" i="14" s="1"/>
  <c r="K15" i="13"/>
  <c r="A40" i="14"/>
  <c r="K23" i="14" s="1"/>
  <c r="L15" i="13"/>
  <c r="M2" i="12"/>
  <c r="B2" i="14"/>
  <c r="G2" i="14" s="1"/>
  <c r="Y2" i="12"/>
  <c r="S2" i="12"/>
  <c r="I2" i="14" s="1"/>
  <c r="J2" i="14" s="1"/>
  <c r="R2" i="12"/>
  <c r="M3" i="12"/>
  <c r="B3" i="14"/>
  <c r="G3" i="14" s="1"/>
  <c r="Y3" i="12"/>
  <c r="S3" i="12"/>
  <c r="I3" i="14" s="1"/>
  <c r="J3" i="14" s="1"/>
  <c r="R3" i="12"/>
  <c r="M4" i="12"/>
  <c r="B4" i="14"/>
  <c r="G4" i="14" s="1"/>
  <c r="S4" i="12"/>
  <c r="I4" i="14" s="1"/>
  <c r="J4" i="14" s="1"/>
  <c r="R4" i="12"/>
  <c r="M5" i="12"/>
  <c r="B5" i="14"/>
  <c r="G5" i="14" s="1"/>
  <c r="Y5" i="12"/>
  <c r="S5" i="12"/>
  <c r="I5" i="14" s="1"/>
  <c r="J5" i="14" s="1"/>
  <c r="R5" i="12"/>
  <c r="M6" i="12"/>
  <c r="B6" i="14"/>
  <c r="G6" i="14" s="1"/>
  <c r="S6" i="12"/>
  <c r="I6" i="14" s="1"/>
  <c r="J6" i="14" s="1"/>
  <c r="R6" i="12"/>
  <c r="M7" i="12"/>
  <c r="B7" i="14"/>
  <c r="G7" i="14" s="1"/>
  <c r="U7" i="12"/>
  <c r="S7" i="12"/>
  <c r="I7" i="14" s="1"/>
  <c r="J7" i="14" s="1"/>
  <c r="R7" i="12"/>
  <c r="M8" i="12"/>
  <c r="B8" i="14"/>
  <c r="G8" i="14" s="1"/>
  <c r="Y8" i="12"/>
  <c r="S8" i="12"/>
  <c r="I8" i="14" s="1"/>
  <c r="J8" i="14" s="1"/>
  <c r="R8" i="12"/>
  <c r="M9" i="12"/>
  <c r="B9" i="14"/>
  <c r="G9" i="14" s="1"/>
  <c r="Y9" i="12"/>
  <c r="S9" i="12"/>
  <c r="I9" i="14" s="1"/>
  <c r="J9" i="14" s="1"/>
  <c r="R9" i="12"/>
  <c r="M10" i="12"/>
  <c r="B10" i="14"/>
  <c r="G10" i="14" s="1"/>
  <c r="Y10" i="12"/>
  <c r="S10" i="12"/>
  <c r="I10" i="14" s="1"/>
  <c r="J10" i="14" s="1"/>
  <c r="R10" i="12"/>
  <c r="M11" i="12"/>
  <c r="B11" i="14"/>
  <c r="G11" i="14" s="1"/>
  <c r="M12" i="12"/>
  <c r="B12" i="14"/>
  <c r="G12" i="14" s="1"/>
  <c r="M13" i="12"/>
  <c r="B13" i="14"/>
  <c r="G13" i="14" s="1"/>
  <c r="M14" i="12"/>
  <c r="B14" i="14"/>
  <c r="G14" i="14" s="1"/>
  <c r="M15" i="12"/>
  <c r="B15" i="14"/>
  <c r="G15" i="14" s="1"/>
  <c r="M16" i="12"/>
  <c r="B16" i="14"/>
  <c r="G16" i="14" s="1"/>
  <c r="M17" i="12"/>
  <c r="B17" i="14"/>
  <c r="G17" i="14" s="1"/>
  <c r="M18" i="12"/>
  <c r="B18" i="14"/>
  <c r="G18" i="14" s="1"/>
  <c r="M19" i="12"/>
  <c r="B19" i="14"/>
  <c r="G19" i="14" s="1"/>
  <c r="M20" i="12"/>
  <c r="B20" i="14"/>
  <c r="G20" i="14" s="1"/>
  <c r="M21" i="12"/>
  <c r="M22" i="12"/>
  <c r="K20" i="14"/>
  <c r="E20" i="14"/>
  <c r="H20" i="14" s="1"/>
  <c r="K19" i="14"/>
  <c r="E19" i="14"/>
  <c r="H19" i="14" s="1"/>
  <c r="K18" i="14"/>
  <c r="E18" i="14"/>
  <c r="H18" i="14" s="1"/>
  <c r="K17" i="14"/>
  <c r="E17" i="14"/>
  <c r="H17" i="14" s="1"/>
  <c r="K16" i="14"/>
  <c r="E16" i="14"/>
  <c r="H16" i="14" s="1"/>
  <c r="K15" i="14"/>
  <c r="E15" i="14"/>
  <c r="H15" i="14" s="1"/>
  <c r="K14" i="14"/>
  <c r="E14" i="14"/>
  <c r="H14" i="14" s="1"/>
  <c r="K13" i="14"/>
  <c r="E13" i="14"/>
  <c r="H13" i="14" s="1"/>
  <c r="K12" i="14"/>
  <c r="E12" i="14"/>
  <c r="H12" i="14" s="1"/>
  <c r="K11" i="14"/>
  <c r="E11" i="14"/>
  <c r="H11" i="14" s="1"/>
  <c r="AA4" i="12"/>
  <c r="AA6" i="12"/>
  <c r="Z10" i="12"/>
  <c r="AA21" i="12"/>
  <c r="AA2" i="12"/>
  <c r="Z3" i="12"/>
  <c r="U3" i="12"/>
  <c r="Z6" i="12"/>
  <c r="AA22" i="12"/>
  <c r="Z4" i="12"/>
  <c r="Y7" i="12"/>
  <c r="U9" i="12"/>
  <c r="AA12" i="12"/>
  <c r="AA16" i="12"/>
  <c r="AA9" i="12"/>
  <c r="U2" i="12"/>
  <c r="AA19" i="12"/>
  <c r="AA14" i="12"/>
  <c r="Z2" i="12"/>
  <c r="V3" i="12"/>
  <c r="Z5" i="12"/>
  <c r="AA11" i="12"/>
  <c r="AA15" i="12"/>
  <c r="U5" i="12"/>
  <c r="AA8" i="12"/>
  <c r="AA20" i="12"/>
  <c r="Z7" i="12"/>
  <c r="AA3" i="12"/>
  <c r="AA5" i="12"/>
  <c r="AA10" i="12"/>
  <c r="V10" i="12"/>
  <c r="V7" i="12"/>
  <c r="Z8" i="12"/>
  <c r="Z9" i="12"/>
  <c r="AA13" i="12"/>
  <c r="AA7" i="12"/>
  <c r="AA18" i="12"/>
  <c r="AA17" i="12"/>
  <c r="U4" i="12"/>
  <c r="U6" i="12"/>
  <c r="U8" i="12"/>
  <c r="U10" i="12"/>
  <c r="Y6" i="12"/>
  <c r="Y4" i="12"/>
  <c r="K10" i="14" l="1"/>
  <c r="E10" i="14"/>
  <c r="H10" i="14" s="1"/>
  <c r="K9" i="14"/>
  <c r="E9" i="14"/>
  <c r="H9" i="14" s="1"/>
  <c r="K8" i="14"/>
  <c r="E8" i="14"/>
  <c r="H8" i="14" s="1"/>
  <c r="K7" i="14"/>
  <c r="E7" i="14"/>
  <c r="H7" i="14" s="1"/>
  <c r="K6" i="14"/>
  <c r="E6" i="14"/>
  <c r="H6" i="14" s="1"/>
  <c r="K5" i="14"/>
  <c r="E5" i="14"/>
  <c r="H5" i="14" s="1"/>
  <c r="K4" i="14"/>
  <c r="E4" i="14"/>
  <c r="H4" i="14" s="1"/>
  <c r="K3" i="14"/>
  <c r="E3" i="14"/>
  <c r="H3" i="14" s="1"/>
  <c r="K2" i="14"/>
  <c r="E2" i="14"/>
  <c r="H2" i="14" s="1"/>
  <c r="H16" i="11"/>
  <c r="H18" i="11"/>
  <c r="H19" i="11"/>
  <c r="H20" i="11"/>
  <c r="H21" i="11"/>
  <c r="H24" i="11"/>
  <c r="H25" i="11"/>
  <c r="H26" i="11"/>
  <c r="H27" i="11"/>
  <c r="H30" i="11"/>
  <c r="H31" i="11"/>
  <c r="H32" i="11"/>
  <c r="H33" i="11"/>
  <c r="H34" i="11"/>
  <c r="H35" i="11"/>
  <c r="H36" i="11"/>
  <c r="H37" i="11"/>
  <c r="H38" i="11"/>
  <c r="H40" i="11"/>
  <c r="H42" i="11"/>
  <c r="H43" i="11"/>
  <c r="H46" i="11"/>
  <c r="H47" i="11"/>
  <c r="H48" i="11"/>
  <c r="H50" i="11"/>
  <c r="H51" i="11"/>
  <c r="H52" i="11"/>
  <c r="H55" i="11"/>
  <c r="H56" i="11"/>
  <c r="H57" i="11"/>
  <c r="H59" i="11"/>
  <c r="H61" i="11"/>
  <c r="H63" i="11"/>
  <c r="H65" i="11"/>
  <c r="H66" i="11"/>
  <c r="H67" i="11"/>
  <c r="H68" i="11"/>
  <c r="L21" i="14"/>
  <c r="L22" i="14"/>
  <c r="AH16" i="11"/>
  <c r="L24" i="14"/>
  <c r="AH18" i="11"/>
  <c r="AH19" i="11"/>
  <c r="AH20" i="11"/>
  <c r="AH21" i="11"/>
  <c r="L29" i="14"/>
  <c r="L30" i="14"/>
  <c r="AH24" i="11"/>
  <c r="AH25" i="11"/>
  <c r="AH26" i="11"/>
  <c r="AH27" i="11"/>
  <c r="L37" i="14"/>
  <c r="L38" i="14"/>
  <c r="AH30" i="11"/>
  <c r="AH31" i="11"/>
  <c r="AH32" i="11"/>
  <c r="AH33" i="11"/>
  <c r="AH34" i="11"/>
  <c r="AH35" i="11"/>
  <c r="AH36" i="11"/>
  <c r="AH37" i="11"/>
  <c r="AH38" i="11"/>
  <c r="AC16" i="11"/>
  <c r="AC18" i="11"/>
  <c r="AC19" i="11"/>
  <c r="AC20" i="11"/>
  <c r="AC21" i="11"/>
  <c r="AC24" i="11"/>
  <c r="AC25" i="11"/>
  <c r="AC26" i="11"/>
  <c r="AC27" i="11"/>
  <c r="AC30" i="11"/>
  <c r="AC31" i="11"/>
  <c r="AC32" i="11"/>
  <c r="AC33" i="11"/>
  <c r="AC34" i="11"/>
  <c r="AC35" i="11"/>
  <c r="AC36" i="11"/>
  <c r="AC37" i="11"/>
  <c r="AC38" i="11"/>
  <c r="AC40" i="11"/>
  <c r="AI40" i="11" s="1"/>
  <c r="M39" i="13" s="1"/>
  <c r="M30" i="11"/>
  <c r="N29" i="13" s="1"/>
  <c r="O29" i="13" s="1"/>
  <c r="M31" i="11"/>
  <c r="N30" i="13" s="1"/>
  <c r="O30" i="13" s="1"/>
  <c r="M32" i="11"/>
  <c r="N31" i="13" s="1"/>
  <c r="O31" i="13" s="1"/>
  <c r="M33" i="11"/>
  <c r="N32" i="13" s="1"/>
  <c r="O32" i="13" s="1"/>
  <c r="M34" i="11"/>
  <c r="N33" i="13" s="1"/>
  <c r="O33" i="13" s="1"/>
  <c r="M35" i="11"/>
  <c r="N34" i="13" s="1"/>
  <c r="O34" i="13" s="1"/>
  <c r="M36" i="11"/>
  <c r="N35" i="13" s="1"/>
  <c r="O35" i="13" s="1"/>
  <c r="M37" i="11"/>
  <c r="N36" i="13" s="1"/>
  <c r="O36" i="13" s="1"/>
  <c r="M38" i="11"/>
  <c r="N37" i="13" s="1"/>
  <c r="O37" i="13" s="1"/>
  <c r="M40" i="11"/>
  <c r="N39" i="13" s="1"/>
  <c r="O39" i="13" s="1"/>
  <c r="M42" i="11"/>
  <c r="N41" i="13" s="1"/>
  <c r="O41" i="13" s="1"/>
  <c r="M43" i="11"/>
  <c r="N42" i="13" s="1"/>
  <c r="O42" i="13" s="1"/>
  <c r="M46" i="11"/>
  <c r="N45" i="13" s="1"/>
  <c r="O45" i="13" s="1"/>
  <c r="M47" i="11"/>
  <c r="N46" i="13" s="1"/>
  <c r="O46" i="13" s="1"/>
  <c r="M48" i="11"/>
  <c r="N47" i="13" s="1"/>
  <c r="O47" i="13" s="1"/>
  <c r="M50" i="11"/>
  <c r="N49" i="13" s="1"/>
  <c r="O49" i="13" s="1"/>
  <c r="M51" i="11"/>
  <c r="N50" i="13" s="1"/>
  <c r="O50" i="13" s="1"/>
  <c r="M52" i="11"/>
  <c r="N51" i="13" s="1"/>
  <c r="O51" i="13" s="1"/>
  <c r="M55" i="11"/>
  <c r="N54" i="13" s="1"/>
  <c r="O54" i="13" s="1"/>
  <c r="M56" i="11"/>
  <c r="N55" i="13" s="1"/>
  <c r="O55" i="13" s="1"/>
  <c r="M57" i="11"/>
  <c r="N56" i="13" s="1"/>
  <c r="O56" i="13" s="1"/>
  <c r="M59" i="11"/>
  <c r="N58" i="13" s="1"/>
  <c r="O58" i="13" s="1"/>
  <c r="M61" i="11"/>
  <c r="N60" i="13" s="1"/>
  <c r="O60" i="13" s="1"/>
  <c r="M63" i="11"/>
  <c r="N62" i="13" s="1"/>
  <c r="O62" i="13" s="1"/>
  <c r="M65" i="11"/>
  <c r="M66" i="11"/>
  <c r="M67" i="11"/>
  <c r="M68" i="11"/>
  <c r="M16" i="11"/>
  <c r="N15" i="13" s="1"/>
  <c r="O15" i="13" s="1"/>
  <c r="M18" i="11"/>
  <c r="N17" i="13" s="1"/>
  <c r="O17" i="13" s="1"/>
  <c r="M19" i="11"/>
  <c r="N18" i="13" s="1"/>
  <c r="O18" i="13" s="1"/>
  <c r="M20" i="11"/>
  <c r="N19" i="13" s="1"/>
  <c r="O19" i="13" s="1"/>
  <c r="M21" i="11"/>
  <c r="N20" i="13" s="1"/>
  <c r="O20" i="13" s="1"/>
  <c r="M24" i="11"/>
  <c r="N23" i="13" s="1"/>
  <c r="O23" i="13" s="1"/>
  <c r="M25" i="11"/>
  <c r="N24" i="13" s="1"/>
  <c r="O24" i="13" s="1"/>
  <c r="M26" i="11"/>
  <c r="N25" i="13" s="1"/>
  <c r="O25" i="13" s="1"/>
  <c r="M27" i="11"/>
  <c r="N26" i="13" s="1"/>
  <c r="O26" i="13" s="1"/>
  <c r="AI38" i="11" l="1"/>
  <c r="M37" i="13" s="1"/>
  <c r="AI37" i="11"/>
  <c r="M36" i="13" s="1"/>
  <c r="AI36" i="11"/>
  <c r="M35" i="13" s="1"/>
  <c r="AI35" i="11"/>
  <c r="M34" i="13" s="1"/>
  <c r="AI34" i="11"/>
  <c r="M33" i="13" s="1"/>
  <c r="AI33" i="11"/>
  <c r="M32" i="13" s="1"/>
  <c r="AI32" i="11"/>
  <c r="M31" i="13" s="1"/>
  <c r="AI31" i="11"/>
  <c r="M30" i="13" s="1"/>
  <c r="AI30" i="11"/>
  <c r="M29" i="13" s="1"/>
  <c r="AI27" i="11"/>
  <c r="AI26" i="11"/>
  <c r="AI25" i="11"/>
  <c r="AI24" i="11"/>
  <c r="AI21" i="11"/>
  <c r="AI20" i="11"/>
  <c r="AI19" i="11"/>
  <c r="AI18" i="11"/>
  <c r="AI16" i="11"/>
  <c r="AP30" i="1"/>
  <c r="G26" i="13" s="1"/>
  <c r="O30" i="1"/>
  <c r="E4" i="10"/>
  <c r="E5" i="10"/>
  <c r="E6" i="10"/>
  <c r="E7" i="10"/>
  <c r="E14" i="10"/>
  <c r="E12" i="10"/>
  <c r="E13" i="10"/>
  <c r="E15" i="10"/>
  <c r="E23" i="10"/>
  <c r="E10" i="10"/>
  <c r="E8" i="10"/>
  <c r="E9" i="10"/>
  <c r="E11" i="10"/>
  <c r="E2" i="10"/>
  <c r="E19" i="10"/>
  <c r="E24" i="10"/>
  <c r="E16" i="10"/>
  <c r="E17" i="10"/>
  <c r="E25" i="10"/>
  <c r="E20" i="10"/>
  <c r="E21" i="10"/>
  <c r="E3" i="10"/>
  <c r="E22" i="10"/>
  <c r="E18" i="10"/>
  <c r="E1" i="10"/>
  <c r="L32" i="14" l="1"/>
  <c r="M24" i="13"/>
  <c r="L26" i="14"/>
  <c r="M18" i="13"/>
  <c r="L31" i="14"/>
  <c r="M23" i="13"/>
  <c r="L27" i="14"/>
  <c r="M19" i="13"/>
  <c r="L33" i="14"/>
  <c r="M25" i="13"/>
  <c r="L28" i="14"/>
  <c r="M20" i="13"/>
  <c r="L34" i="14"/>
  <c r="M26" i="13"/>
  <c r="L23" i="14"/>
  <c r="M15" i="13"/>
  <c r="L25" i="14"/>
  <c r="M17" i="13"/>
  <c r="D4" i="10"/>
  <c r="D6" i="10"/>
  <c r="D17" i="10"/>
  <c r="D1" i="10"/>
  <c r="B4" i="10"/>
  <c r="B5" i="10"/>
  <c r="B6" i="10"/>
  <c r="B7" i="10"/>
  <c r="B14" i="10"/>
  <c r="B12" i="10"/>
  <c r="B13" i="10"/>
  <c r="B15" i="10"/>
  <c r="B23" i="10"/>
  <c r="B10" i="10"/>
  <c r="B8" i="10"/>
  <c r="B11" i="10"/>
  <c r="B2" i="10"/>
  <c r="B19" i="10"/>
  <c r="B24" i="10"/>
  <c r="B16" i="10"/>
  <c r="B17" i="10"/>
  <c r="B25" i="10"/>
  <c r="B20" i="10"/>
  <c r="B3" i="10"/>
  <c r="B22" i="10"/>
  <c r="B1" i="10"/>
  <c r="A1" i="10"/>
  <c r="AP7" i="1" l="1"/>
  <c r="AP8" i="1"/>
  <c r="AP9" i="1"/>
  <c r="AP10" i="1"/>
  <c r="AP11" i="1"/>
  <c r="AP12" i="1"/>
  <c r="AP13" i="1"/>
  <c r="AP14" i="1"/>
  <c r="AP15" i="1"/>
  <c r="AP16" i="1"/>
  <c r="AP17" i="1"/>
  <c r="G13" i="13" s="1"/>
  <c r="AP18" i="1"/>
  <c r="G14" i="13" s="1"/>
  <c r="AP19" i="1"/>
  <c r="G15" i="13" s="1"/>
  <c r="AP20" i="1"/>
  <c r="G16" i="13" s="1"/>
  <c r="AP21" i="1"/>
  <c r="G17" i="13" s="1"/>
  <c r="AP22" i="1"/>
  <c r="G18" i="13" s="1"/>
  <c r="AP23" i="1"/>
  <c r="G19" i="13" s="1"/>
  <c r="AP24" i="1"/>
  <c r="G20" i="13" s="1"/>
  <c r="AP25" i="1"/>
  <c r="G21" i="13" s="1"/>
  <c r="AP26" i="1"/>
  <c r="G22" i="13" s="1"/>
  <c r="AP27" i="1"/>
  <c r="G23" i="13" s="1"/>
  <c r="AP28" i="1"/>
  <c r="G24" i="13" s="1"/>
  <c r="AP29" i="1"/>
  <c r="G25" i="13" s="1"/>
  <c r="AP6" i="1"/>
  <c r="O29" i="1" l="1"/>
  <c r="B18" i="10" s="1"/>
  <c r="O26" i="1" l="1"/>
  <c r="B21" i="10" s="1"/>
  <c r="AG7" i="1" l="1"/>
  <c r="AI7" i="1" s="1"/>
  <c r="AG8" i="1"/>
  <c r="AI8" i="1" s="1"/>
  <c r="AG9" i="1"/>
  <c r="AI9" i="1" s="1"/>
  <c r="AG10" i="1"/>
  <c r="AI10" i="1" s="1"/>
  <c r="AG11" i="1"/>
  <c r="AI11" i="1" s="1"/>
  <c r="AG12" i="1"/>
  <c r="AI12" i="1" s="1"/>
  <c r="AG13" i="1"/>
  <c r="AI13" i="1" s="1"/>
  <c r="AG14" i="1"/>
  <c r="AI14" i="1" s="1"/>
  <c r="AG15" i="1"/>
  <c r="AI15" i="1" s="1"/>
  <c r="AG16" i="1"/>
  <c r="AI16" i="1" s="1"/>
  <c r="AG17" i="1"/>
  <c r="AI17" i="1" s="1"/>
  <c r="AG18" i="1"/>
  <c r="AI18" i="1" s="1"/>
  <c r="AG19" i="1"/>
  <c r="AI19" i="1" s="1"/>
  <c r="AG20" i="1"/>
  <c r="AI20" i="1" s="1"/>
  <c r="AG21" i="1"/>
  <c r="AI21" i="1" s="1"/>
  <c r="AG22" i="1"/>
  <c r="AI22" i="1" s="1"/>
  <c r="AG23" i="1"/>
  <c r="AI23" i="1" s="1"/>
  <c r="AG24" i="1"/>
  <c r="AI24" i="1" s="1"/>
  <c r="AG26" i="1"/>
  <c r="AI26" i="1" s="1"/>
  <c r="AG27" i="1"/>
  <c r="AI27" i="1" s="1"/>
  <c r="AG28" i="1"/>
  <c r="AI28" i="1" s="1"/>
  <c r="AG29" i="1"/>
  <c r="AI29" i="1" s="1"/>
  <c r="AG30" i="1"/>
  <c r="AI30" i="1" s="1"/>
  <c r="AG31" i="1"/>
  <c r="AI31" i="1" s="1"/>
  <c r="AG32" i="1"/>
  <c r="AI32" i="1" s="1"/>
  <c r="AG33" i="1"/>
  <c r="AI33" i="1" s="1"/>
  <c r="AG34" i="1"/>
  <c r="AI34" i="1" s="1"/>
  <c r="AG35" i="1"/>
  <c r="AI35" i="1" s="1"/>
  <c r="AG36" i="1"/>
  <c r="AI36" i="1" s="1"/>
  <c r="AG37" i="1"/>
  <c r="AI37" i="1" s="1"/>
  <c r="AG38" i="1"/>
  <c r="AI38" i="1" s="1"/>
  <c r="AG39" i="1"/>
  <c r="AI39" i="1" s="1"/>
  <c r="AG40" i="1"/>
  <c r="AI40" i="1" s="1"/>
  <c r="AG41" i="1"/>
  <c r="AI41" i="1" s="1"/>
  <c r="AG42" i="1"/>
  <c r="AI42" i="1" s="1"/>
  <c r="AG43" i="1"/>
  <c r="AI43" i="1" s="1"/>
  <c r="AG44" i="1"/>
  <c r="AI44" i="1" s="1"/>
  <c r="AG45" i="1"/>
  <c r="AI45" i="1" s="1"/>
  <c r="AG46" i="1"/>
  <c r="AI46" i="1" s="1"/>
  <c r="AG47" i="1"/>
  <c r="AI47" i="1" s="1"/>
  <c r="AG48" i="1"/>
  <c r="AI48" i="1" s="1"/>
  <c r="AG49" i="1"/>
  <c r="AI49" i="1" s="1"/>
  <c r="AG50" i="1"/>
  <c r="AI50" i="1" s="1"/>
  <c r="AG51" i="1"/>
  <c r="AI51" i="1" s="1"/>
  <c r="AG52" i="1"/>
  <c r="AG53" i="1"/>
  <c r="AI53" i="1" s="1"/>
  <c r="AG54" i="1"/>
  <c r="AI54" i="1" s="1"/>
  <c r="AG55" i="1"/>
  <c r="AI55" i="1" s="1"/>
  <c r="AG56" i="1"/>
  <c r="AI56" i="1" s="1"/>
  <c r="AG57" i="1"/>
  <c r="AI57" i="1" s="1"/>
  <c r="AG58" i="1"/>
  <c r="AI58" i="1" s="1"/>
  <c r="AG59" i="1"/>
  <c r="AI59" i="1" s="1"/>
  <c r="AG60" i="1"/>
  <c r="AI60" i="1" s="1"/>
  <c r="AG61" i="1"/>
  <c r="AI61" i="1" s="1"/>
  <c r="AG62" i="1"/>
  <c r="AI62" i="1" s="1"/>
  <c r="AG63" i="1"/>
  <c r="AI63" i="1" s="1"/>
  <c r="AG64" i="1"/>
  <c r="AI64" i="1" s="1"/>
  <c r="AG65" i="1"/>
  <c r="AI65" i="1" s="1"/>
  <c r="AG66" i="1"/>
  <c r="AI66" i="1" s="1"/>
  <c r="AG67" i="1"/>
  <c r="AI67" i="1" s="1"/>
  <c r="AG68" i="1"/>
  <c r="AI68" i="1" s="1"/>
  <c r="AG69" i="1"/>
  <c r="AI69" i="1" s="1"/>
  <c r="AG70" i="1"/>
  <c r="AI70" i="1" s="1"/>
  <c r="AG71" i="1"/>
  <c r="AI71" i="1" s="1"/>
  <c r="AG72" i="1"/>
  <c r="AI72" i="1" s="1"/>
  <c r="AG73" i="1"/>
  <c r="AI73" i="1" s="1"/>
  <c r="AG74" i="1"/>
  <c r="AI74" i="1" s="1"/>
  <c r="AG75" i="1"/>
  <c r="AI75" i="1" s="1"/>
  <c r="AG78" i="1"/>
  <c r="AI78" i="1" s="1"/>
  <c r="AG79" i="1"/>
  <c r="AI79" i="1" s="1"/>
  <c r="AG80" i="1"/>
  <c r="AI80" i="1" s="1"/>
  <c r="AG81" i="1"/>
  <c r="AI81" i="1" s="1"/>
  <c r="AG82" i="1"/>
  <c r="AI82" i="1" s="1"/>
  <c r="AG83" i="1"/>
  <c r="AI83" i="1" s="1"/>
  <c r="AG86" i="1"/>
  <c r="AI86" i="1" s="1"/>
  <c r="AG87" i="1"/>
  <c r="AI87" i="1" s="1"/>
  <c r="AG90" i="1"/>
  <c r="AI90" i="1" s="1"/>
  <c r="AG91" i="1"/>
  <c r="AI91" i="1" s="1"/>
  <c r="AG103" i="1"/>
  <c r="AI103" i="1" s="1"/>
  <c r="AG104" i="1"/>
  <c r="AI104" i="1" s="1"/>
  <c r="AG105" i="1"/>
  <c r="AI105" i="1" s="1"/>
  <c r="AG106" i="1"/>
  <c r="AI106" i="1" s="1"/>
  <c r="AG107" i="1"/>
  <c r="AI107" i="1" s="1"/>
  <c r="AG6" i="1"/>
  <c r="AI6" i="1" s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8" i="1"/>
  <c r="AF79" i="1"/>
  <c r="AF80" i="1"/>
  <c r="AF81" i="1"/>
  <c r="AF82" i="1"/>
  <c r="AF83" i="1"/>
  <c r="AF86" i="1"/>
  <c r="AF90" i="1"/>
  <c r="AF91" i="1"/>
  <c r="AF103" i="1"/>
  <c r="AF104" i="1"/>
  <c r="AF105" i="1"/>
  <c r="AF106" i="1"/>
  <c r="AF107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6" i="1"/>
  <c r="D22" i="8" l="1"/>
  <c r="D21" i="8"/>
  <c r="V2" i="1"/>
  <c r="O17" i="1"/>
  <c r="B9" i="10" s="1"/>
  <c r="C9" i="10" l="1"/>
  <c r="C22" i="10"/>
  <c r="C20" i="10"/>
  <c r="C25" i="10"/>
  <c r="C24" i="10"/>
  <c r="C19" i="10"/>
  <c r="C8" i="10"/>
  <c r="C10" i="10"/>
  <c r="C23" i="10"/>
  <c r="C15" i="10"/>
  <c r="C13" i="10"/>
  <c r="C7" i="10"/>
  <c r="C6" i="10"/>
  <c r="C4" i="10"/>
  <c r="C16" i="10"/>
  <c r="C5" i="10"/>
  <c r="C2" i="10"/>
  <c r="C3" i="10"/>
  <c r="C17" i="10"/>
  <c r="C11" i="10"/>
  <c r="C12" i="10"/>
  <c r="C14" i="10"/>
  <c r="C18" i="10"/>
  <c r="C21" i="10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D27" i="9" l="1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B17" i="7" l="1"/>
  <c r="C15" i="7"/>
  <c r="B26" i="7"/>
  <c r="A90" i="11"/>
  <c r="A91" i="11"/>
  <c r="A92" i="11"/>
  <c r="A93" i="11"/>
  <c r="A94" i="11"/>
  <c r="A95" i="11"/>
  <c r="A96" i="11"/>
  <c r="A97" i="11"/>
  <c r="A98" i="11"/>
  <c r="A99" i="11"/>
  <c r="A103" i="1"/>
  <c r="A104" i="1"/>
  <c r="A105" i="1"/>
  <c r="A106" i="1"/>
  <c r="A107" i="1"/>
  <c r="S14" i="1"/>
  <c r="S15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0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C44" i="11" s="1"/>
  <c r="S48" i="1"/>
  <c r="C45" i="11" s="1"/>
  <c r="S49" i="1"/>
  <c r="S50" i="1"/>
  <c r="S51" i="1"/>
  <c r="S53" i="1"/>
  <c r="S54" i="1"/>
  <c r="S55" i="1"/>
  <c r="S56" i="1"/>
  <c r="S57" i="1"/>
  <c r="S58" i="1"/>
  <c r="S60" i="1"/>
  <c r="S61" i="1"/>
  <c r="C58" i="11" s="1"/>
  <c r="S62" i="1"/>
  <c r="S63" i="1"/>
  <c r="S64" i="1"/>
  <c r="S66" i="1"/>
  <c r="S67" i="1"/>
  <c r="C64" i="11" s="1"/>
  <c r="S68" i="1"/>
  <c r="S70" i="1"/>
  <c r="C67" i="11" s="1"/>
  <c r="S71" i="1"/>
  <c r="C68" i="11" s="1"/>
  <c r="S72" i="1"/>
  <c r="S73" i="1"/>
  <c r="S74" i="1"/>
  <c r="S75" i="1"/>
  <c r="S78" i="1"/>
  <c r="S79" i="1"/>
  <c r="S80" i="1"/>
  <c r="S81" i="1"/>
  <c r="C78" i="11" s="1"/>
  <c r="S82" i="1"/>
  <c r="S83" i="1"/>
  <c r="C80" i="11" s="1"/>
  <c r="S84" i="1"/>
  <c r="C81" i="11" s="1"/>
  <c r="C82" i="11"/>
  <c r="S86" i="1"/>
  <c r="S87" i="1"/>
  <c r="S88" i="1"/>
  <c r="S89" i="1"/>
  <c r="C87" i="11"/>
  <c r="S91" i="1"/>
  <c r="C89" i="11"/>
  <c r="C90" i="11"/>
  <c r="C91" i="11"/>
  <c r="C92" i="11"/>
  <c r="C93" i="11"/>
  <c r="C94" i="11"/>
  <c r="C95" i="11"/>
  <c r="C96" i="11"/>
  <c r="C97" i="11"/>
  <c r="C98" i="11"/>
  <c r="C99" i="11"/>
  <c r="S103" i="1"/>
  <c r="C100" i="11" s="1"/>
  <c r="S104" i="1"/>
  <c r="C101" i="11" s="1"/>
  <c r="S105" i="1"/>
  <c r="C102" i="11" s="1"/>
  <c r="S106" i="1"/>
  <c r="C103" i="11" s="1"/>
  <c r="S107" i="1"/>
  <c r="C104" i="11" s="1"/>
  <c r="S13" i="1"/>
  <c r="C9" i="7"/>
  <c r="C25" i="7"/>
  <c r="C7" i="7"/>
  <c r="C24" i="7"/>
  <c r="C8" i="7"/>
  <c r="C10" i="7"/>
  <c r="A100" i="11" l="1"/>
  <c r="A99" i="15"/>
  <c r="A102" i="11"/>
  <c r="A101" i="15"/>
  <c r="A101" i="11"/>
  <c r="A100" i="15"/>
  <c r="A104" i="11"/>
  <c r="A103" i="15"/>
  <c r="A103" i="11"/>
  <c r="A102" i="15"/>
  <c r="C88" i="11"/>
  <c r="D87" i="13"/>
  <c r="H87" i="13" s="1"/>
  <c r="C84" i="11"/>
  <c r="D83" i="13"/>
  <c r="H83" i="13" s="1"/>
  <c r="C83" i="11"/>
  <c r="D82" i="13"/>
  <c r="H82" i="13" s="1"/>
  <c r="C86" i="11"/>
  <c r="D85" i="13"/>
  <c r="H85" i="13" s="1"/>
  <c r="C85" i="11"/>
  <c r="D84" i="13"/>
  <c r="H84" i="13" s="1"/>
  <c r="C79" i="11"/>
  <c r="D78" i="13"/>
  <c r="H78" i="13" s="1"/>
  <c r="C77" i="11"/>
  <c r="D76" i="13"/>
  <c r="H76" i="13" s="1"/>
  <c r="C76" i="11"/>
  <c r="D75" i="13"/>
  <c r="H75" i="13" s="1"/>
  <c r="D41" i="13"/>
  <c r="H41" i="13" s="1"/>
  <c r="C42" i="11"/>
  <c r="D24" i="13"/>
  <c r="H24" i="13" s="1"/>
  <c r="C25" i="11"/>
  <c r="D58" i="13"/>
  <c r="H58" i="13" s="1"/>
  <c r="C59" i="11"/>
  <c r="D23" i="13"/>
  <c r="H23" i="13" s="1"/>
  <c r="C24" i="11"/>
  <c r="AZ56" i="13"/>
  <c r="D39" i="13"/>
  <c r="H39" i="13" s="1"/>
  <c r="C40" i="11"/>
  <c r="D22" i="13"/>
  <c r="H22" i="13" s="1"/>
  <c r="C23" i="11"/>
  <c r="D56" i="13"/>
  <c r="H56" i="13" s="1"/>
  <c r="C57" i="11"/>
  <c r="AZ55" i="13"/>
  <c r="D38" i="13"/>
  <c r="H38" i="13" s="1"/>
  <c r="C39" i="11"/>
  <c r="D21" i="13"/>
  <c r="H21" i="13" s="1"/>
  <c r="C22" i="11"/>
  <c r="AP46" i="13"/>
  <c r="AR46" i="13" s="1"/>
  <c r="D54" i="13"/>
  <c r="H54" i="13" s="1"/>
  <c r="C55" i="11"/>
  <c r="AZ54" i="13"/>
  <c r="D37" i="13"/>
  <c r="H37" i="13" s="1"/>
  <c r="C38" i="11"/>
  <c r="D20" i="13"/>
  <c r="H20" i="13" s="1"/>
  <c r="C21" i="11"/>
  <c r="D74" i="13"/>
  <c r="H74" i="13" s="1"/>
  <c r="C75" i="11"/>
  <c r="D53" i="13"/>
  <c r="H53" i="13" s="1"/>
  <c r="C54" i="11"/>
  <c r="D36" i="13"/>
  <c r="H36" i="13" s="1"/>
  <c r="C37" i="11"/>
  <c r="D18" i="13"/>
  <c r="H18" i="13" s="1"/>
  <c r="C19" i="11"/>
  <c r="C72" i="11"/>
  <c r="D71" i="13"/>
  <c r="H71" i="13" s="1"/>
  <c r="D52" i="13"/>
  <c r="H52" i="13" s="1"/>
  <c r="C53" i="11"/>
  <c r="D35" i="13"/>
  <c r="H35" i="13" s="1"/>
  <c r="C36" i="11"/>
  <c r="D17" i="13"/>
  <c r="H17" i="13" s="1"/>
  <c r="C18" i="11"/>
  <c r="AP49" i="13"/>
  <c r="AR49" i="13" s="1"/>
  <c r="D51" i="13"/>
  <c r="H51" i="13" s="1"/>
  <c r="C52" i="11"/>
  <c r="AZ51" i="13"/>
  <c r="D34" i="13"/>
  <c r="H34" i="13" s="1"/>
  <c r="C35" i="11"/>
  <c r="D16" i="13"/>
  <c r="H16" i="13" s="1"/>
  <c r="C17" i="11"/>
  <c r="AP51" i="13"/>
  <c r="AR51" i="13" s="1"/>
  <c r="D50" i="13"/>
  <c r="H50" i="13" s="1"/>
  <c r="C51" i="11"/>
  <c r="AZ50" i="13"/>
  <c r="AH37" i="13"/>
  <c r="AJ37" i="13" s="1"/>
  <c r="D33" i="13"/>
  <c r="H33" i="13" s="1"/>
  <c r="C34" i="11"/>
  <c r="D15" i="13"/>
  <c r="H15" i="13" s="1"/>
  <c r="C16" i="11"/>
  <c r="AZ57" i="13"/>
  <c r="D40" i="13"/>
  <c r="H40" i="13" s="1"/>
  <c r="C41" i="11"/>
  <c r="C69" i="11"/>
  <c r="D68" i="13"/>
  <c r="H68" i="13" s="1"/>
  <c r="AP47" i="13"/>
  <c r="AR47" i="13" s="1"/>
  <c r="D49" i="13"/>
  <c r="H49" i="13" s="1"/>
  <c r="C50" i="11"/>
  <c r="D32" i="13"/>
  <c r="H32" i="13" s="1"/>
  <c r="AZ49" i="13"/>
  <c r="C33" i="11"/>
  <c r="D14" i="13"/>
  <c r="H14" i="13" s="1"/>
  <c r="C15" i="11"/>
  <c r="AP48" i="13"/>
  <c r="AR48" i="13" s="1"/>
  <c r="D47" i="13"/>
  <c r="H47" i="13" s="1"/>
  <c r="C48" i="11"/>
  <c r="D31" i="13"/>
  <c r="H31" i="13" s="1"/>
  <c r="AZ48" i="13"/>
  <c r="C32" i="11"/>
  <c r="D13" i="13"/>
  <c r="H13" i="13" s="1"/>
  <c r="C14" i="11"/>
  <c r="D59" i="13"/>
  <c r="H59" i="13" s="1"/>
  <c r="C60" i="11"/>
  <c r="D46" i="13"/>
  <c r="H46" i="13" s="1"/>
  <c r="C47" i="11"/>
  <c r="D30" i="13"/>
  <c r="H30" i="13" s="1"/>
  <c r="AZ47" i="13"/>
  <c r="C31" i="11"/>
  <c r="D8" i="10"/>
  <c r="C13" i="11"/>
  <c r="D15" i="10"/>
  <c r="C10" i="11"/>
  <c r="C70" i="11"/>
  <c r="D45" i="13"/>
  <c r="H45" i="13" s="1"/>
  <c r="C46" i="11"/>
  <c r="D29" i="13"/>
  <c r="H29" i="13" s="1"/>
  <c r="AZ45" i="13"/>
  <c r="C30" i="11"/>
  <c r="D10" i="10"/>
  <c r="C12" i="11"/>
  <c r="D28" i="13"/>
  <c r="H28" i="13" s="1"/>
  <c r="C29" i="11"/>
  <c r="D23" i="10"/>
  <c r="C11" i="11"/>
  <c r="D62" i="13"/>
  <c r="H62" i="13" s="1"/>
  <c r="C63" i="11"/>
  <c r="AH53" i="13"/>
  <c r="AJ53" i="13" s="1"/>
  <c r="D26" i="13"/>
  <c r="H26" i="13" s="1"/>
  <c r="C27" i="11"/>
  <c r="AP53" i="13"/>
  <c r="AR53" i="13" s="1"/>
  <c r="D60" i="13"/>
  <c r="H60" i="13" s="1"/>
  <c r="C61" i="11"/>
  <c r="AP45" i="13"/>
  <c r="AR45" i="13" s="1"/>
  <c r="D42" i="13"/>
  <c r="H42" i="13" s="1"/>
  <c r="C43" i="11"/>
  <c r="D25" i="13"/>
  <c r="H25" i="13" s="1"/>
  <c r="C26" i="11"/>
  <c r="D73" i="13"/>
  <c r="H73" i="13" s="1"/>
  <c r="C74" i="11"/>
  <c r="D72" i="13"/>
  <c r="H72" i="13" s="1"/>
  <c r="C73" i="11"/>
  <c r="D70" i="13"/>
  <c r="H70" i="13" s="1"/>
  <c r="C71" i="11"/>
  <c r="D64" i="13"/>
  <c r="H64" i="13" s="1"/>
  <c r="C65" i="11"/>
  <c r="AH52" i="13"/>
  <c r="AJ52" i="13" s="1"/>
  <c r="AH50" i="13"/>
  <c r="AJ50" i="13" s="1"/>
  <c r="AH51" i="13"/>
  <c r="AJ51" i="13" s="1"/>
  <c r="AH47" i="13"/>
  <c r="AJ47" i="13" s="1"/>
  <c r="AH46" i="13"/>
  <c r="AJ46" i="13" s="1"/>
  <c r="AH49" i="13"/>
  <c r="AJ49" i="13" s="1"/>
  <c r="AH48" i="13"/>
  <c r="AJ48" i="13" s="1"/>
  <c r="B34" i="14"/>
  <c r="G34" i="14" s="1"/>
  <c r="D18" i="10"/>
  <c r="B33" i="14"/>
  <c r="G33" i="14" s="1"/>
  <c r="D22" i="10"/>
  <c r="B32" i="14"/>
  <c r="G32" i="14" s="1"/>
  <c r="D3" i="10"/>
  <c r="B31" i="14"/>
  <c r="G31" i="14" s="1"/>
  <c r="D21" i="10"/>
  <c r="B30" i="14"/>
  <c r="D20" i="10"/>
  <c r="B29" i="14"/>
  <c r="D25" i="10"/>
  <c r="B28" i="14"/>
  <c r="G28" i="14" s="1"/>
  <c r="D16" i="10"/>
  <c r="B26" i="14"/>
  <c r="G26" i="14" s="1"/>
  <c r="D24" i="10"/>
  <c r="B25" i="14"/>
  <c r="G25" i="14" s="1"/>
  <c r="D19" i="10"/>
  <c r="B24" i="14"/>
  <c r="D2" i="10"/>
  <c r="B23" i="14"/>
  <c r="G23" i="14" s="1"/>
  <c r="D11" i="10"/>
  <c r="B22" i="14"/>
  <c r="D9" i="10"/>
  <c r="B21" i="14"/>
  <c r="C26" i="7"/>
  <c r="C11" i="7"/>
  <c r="J20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L14" i="8"/>
  <c r="L15" i="8"/>
  <c r="L16" i="8"/>
  <c r="L17" i="8"/>
  <c r="L18" i="8"/>
  <c r="L19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K14" i="8"/>
  <c r="K15" i="8"/>
  <c r="K16" i="8"/>
  <c r="K17" i="8"/>
  <c r="K18" i="8"/>
  <c r="K19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L13" i="8"/>
  <c r="K13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X14" i="9"/>
  <c r="X15" i="9"/>
  <c r="X16" i="9"/>
  <c r="X17" i="9"/>
  <c r="X18" i="9"/>
  <c r="X19" i="9"/>
  <c r="X13" i="9"/>
  <c r="W14" i="9"/>
  <c r="W15" i="9"/>
  <c r="W16" i="9"/>
  <c r="W17" i="9"/>
  <c r="W18" i="9"/>
  <c r="W19" i="9"/>
  <c r="W23" i="9"/>
  <c r="W13" i="9"/>
  <c r="E100" i="15" l="1"/>
  <c r="M100" i="15"/>
  <c r="D100" i="15"/>
  <c r="F100" i="15"/>
  <c r="G100" i="15"/>
  <c r="H100" i="15"/>
  <c r="I100" i="15"/>
  <c r="B100" i="15"/>
  <c r="J100" i="15"/>
  <c r="C100" i="15"/>
  <c r="K100" i="15"/>
  <c r="L100" i="15"/>
  <c r="H101" i="15"/>
  <c r="I101" i="15"/>
  <c r="B101" i="15"/>
  <c r="J101" i="15"/>
  <c r="C101" i="15"/>
  <c r="K101" i="15"/>
  <c r="G101" i="15"/>
  <c r="D101" i="15"/>
  <c r="L101" i="15"/>
  <c r="E101" i="15"/>
  <c r="M101" i="15"/>
  <c r="F101" i="15"/>
  <c r="F103" i="15"/>
  <c r="E103" i="15"/>
  <c r="G103" i="15"/>
  <c r="M103" i="15"/>
  <c r="H103" i="15"/>
  <c r="I103" i="15"/>
  <c r="B103" i="15"/>
  <c r="J103" i="15"/>
  <c r="C103" i="15"/>
  <c r="K103" i="15"/>
  <c r="D103" i="15"/>
  <c r="L103" i="15"/>
  <c r="C102" i="15"/>
  <c r="K102" i="15"/>
  <c r="D102" i="15"/>
  <c r="L102" i="15"/>
  <c r="E102" i="15"/>
  <c r="M102" i="15"/>
  <c r="F102" i="15"/>
  <c r="G102" i="15"/>
  <c r="J102" i="15"/>
  <c r="H102" i="15"/>
  <c r="B102" i="15"/>
  <c r="I102" i="15"/>
  <c r="B99" i="15"/>
  <c r="J99" i="15"/>
  <c r="C99" i="15"/>
  <c r="K99" i="15"/>
  <c r="I99" i="15"/>
  <c r="D99" i="15"/>
  <c r="L99" i="15"/>
  <c r="E99" i="15"/>
  <c r="M99" i="15"/>
  <c r="F99" i="15"/>
  <c r="G99" i="15"/>
  <c r="H99" i="15"/>
  <c r="V62" i="9"/>
  <c r="U62" i="9"/>
  <c r="T62" i="9"/>
  <c r="S62" i="9"/>
  <c r="K62" i="9"/>
  <c r="X62" i="9" s="1"/>
  <c r="J62" i="9"/>
  <c r="W62" i="9" s="1"/>
  <c r="V61" i="9"/>
  <c r="U61" i="9"/>
  <c r="T61" i="9"/>
  <c r="S61" i="9"/>
  <c r="K61" i="9"/>
  <c r="X61" i="9" s="1"/>
  <c r="J61" i="9"/>
  <c r="W61" i="9" s="1"/>
  <c r="V60" i="9"/>
  <c r="U60" i="9"/>
  <c r="T60" i="9"/>
  <c r="S60" i="9"/>
  <c r="K60" i="9"/>
  <c r="X60" i="9" s="1"/>
  <c r="J60" i="9"/>
  <c r="W60" i="9" s="1"/>
  <c r="V59" i="9"/>
  <c r="U59" i="9"/>
  <c r="T59" i="9"/>
  <c r="S59" i="9"/>
  <c r="K59" i="9"/>
  <c r="X59" i="9" s="1"/>
  <c r="J59" i="9"/>
  <c r="W59" i="9" s="1"/>
  <c r="V58" i="9"/>
  <c r="U58" i="9"/>
  <c r="T58" i="9"/>
  <c r="S58" i="9"/>
  <c r="K58" i="9"/>
  <c r="X58" i="9" s="1"/>
  <c r="J58" i="9"/>
  <c r="W58" i="9" s="1"/>
  <c r="V57" i="9"/>
  <c r="U57" i="9"/>
  <c r="T57" i="9"/>
  <c r="S57" i="9"/>
  <c r="K57" i="9"/>
  <c r="X57" i="9" s="1"/>
  <c r="J57" i="9"/>
  <c r="W57" i="9" s="1"/>
  <c r="V56" i="9"/>
  <c r="U56" i="9"/>
  <c r="T56" i="9"/>
  <c r="S56" i="9"/>
  <c r="K56" i="9"/>
  <c r="X56" i="9" s="1"/>
  <c r="J56" i="9"/>
  <c r="W56" i="9" s="1"/>
  <c r="V55" i="9"/>
  <c r="U55" i="9"/>
  <c r="T55" i="9"/>
  <c r="S55" i="9"/>
  <c r="K55" i="9"/>
  <c r="X55" i="9" s="1"/>
  <c r="J55" i="9"/>
  <c r="W55" i="9" s="1"/>
  <c r="V54" i="9"/>
  <c r="U54" i="9"/>
  <c r="T54" i="9"/>
  <c r="S54" i="9"/>
  <c r="K54" i="9"/>
  <c r="X54" i="9" s="1"/>
  <c r="J54" i="9"/>
  <c r="W54" i="9" s="1"/>
  <c r="V53" i="9"/>
  <c r="U53" i="9"/>
  <c r="T53" i="9"/>
  <c r="S53" i="9"/>
  <c r="K53" i="9"/>
  <c r="X53" i="9" s="1"/>
  <c r="J53" i="9"/>
  <c r="W53" i="9" s="1"/>
  <c r="V52" i="9"/>
  <c r="U52" i="9"/>
  <c r="T52" i="9"/>
  <c r="S52" i="9"/>
  <c r="K52" i="9"/>
  <c r="X52" i="9" s="1"/>
  <c r="J52" i="9"/>
  <c r="W52" i="9" s="1"/>
  <c r="V51" i="9"/>
  <c r="U51" i="9"/>
  <c r="T51" i="9"/>
  <c r="S51" i="9"/>
  <c r="K51" i="9"/>
  <c r="X51" i="9" s="1"/>
  <c r="J51" i="9"/>
  <c r="W51" i="9" s="1"/>
  <c r="V50" i="9"/>
  <c r="U50" i="9"/>
  <c r="T50" i="9"/>
  <c r="S50" i="9"/>
  <c r="K50" i="9"/>
  <c r="X50" i="9" s="1"/>
  <c r="J50" i="9"/>
  <c r="W50" i="9" s="1"/>
  <c r="V49" i="9"/>
  <c r="U49" i="9"/>
  <c r="T49" i="9"/>
  <c r="S49" i="9"/>
  <c r="K49" i="9"/>
  <c r="X49" i="9" s="1"/>
  <c r="J49" i="9"/>
  <c r="W49" i="9" s="1"/>
  <c r="V48" i="9"/>
  <c r="U48" i="9"/>
  <c r="T48" i="9"/>
  <c r="S48" i="9"/>
  <c r="K48" i="9"/>
  <c r="X48" i="9" s="1"/>
  <c r="J48" i="9"/>
  <c r="W48" i="9" s="1"/>
  <c r="V47" i="9"/>
  <c r="U47" i="9"/>
  <c r="T47" i="9"/>
  <c r="S47" i="9"/>
  <c r="K47" i="9"/>
  <c r="X47" i="9" s="1"/>
  <c r="J47" i="9"/>
  <c r="W47" i="9" s="1"/>
  <c r="V46" i="9"/>
  <c r="U46" i="9"/>
  <c r="T46" i="9"/>
  <c r="S46" i="9"/>
  <c r="K46" i="9"/>
  <c r="X46" i="9" s="1"/>
  <c r="J46" i="9"/>
  <c r="W46" i="9" s="1"/>
  <c r="V45" i="9"/>
  <c r="U45" i="9"/>
  <c r="T45" i="9"/>
  <c r="S45" i="9"/>
  <c r="K45" i="9"/>
  <c r="X45" i="9" s="1"/>
  <c r="J45" i="9"/>
  <c r="W45" i="9" s="1"/>
  <c r="V44" i="9"/>
  <c r="U44" i="9"/>
  <c r="T44" i="9"/>
  <c r="S44" i="9"/>
  <c r="K44" i="9"/>
  <c r="X44" i="9" s="1"/>
  <c r="J44" i="9"/>
  <c r="W44" i="9" s="1"/>
  <c r="V43" i="9"/>
  <c r="U43" i="9"/>
  <c r="T43" i="9"/>
  <c r="S43" i="9"/>
  <c r="K43" i="9"/>
  <c r="X43" i="9" s="1"/>
  <c r="J43" i="9"/>
  <c r="W43" i="9" s="1"/>
  <c r="V42" i="9"/>
  <c r="U42" i="9"/>
  <c r="T42" i="9"/>
  <c r="S42" i="9"/>
  <c r="K42" i="9"/>
  <c r="X42" i="9" s="1"/>
  <c r="J42" i="9"/>
  <c r="W42" i="9" s="1"/>
  <c r="V41" i="9"/>
  <c r="U41" i="9"/>
  <c r="T41" i="9"/>
  <c r="S41" i="9"/>
  <c r="K41" i="9"/>
  <c r="X41" i="9" s="1"/>
  <c r="J41" i="9"/>
  <c r="W41" i="9" s="1"/>
  <c r="V40" i="9"/>
  <c r="U40" i="9"/>
  <c r="T40" i="9"/>
  <c r="S40" i="9"/>
  <c r="K40" i="9"/>
  <c r="X40" i="9" s="1"/>
  <c r="J40" i="9"/>
  <c r="W40" i="9" s="1"/>
  <c r="V39" i="9"/>
  <c r="U39" i="9"/>
  <c r="T39" i="9"/>
  <c r="S39" i="9"/>
  <c r="K39" i="9"/>
  <c r="X39" i="9" s="1"/>
  <c r="J39" i="9"/>
  <c r="W39" i="9" s="1"/>
  <c r="V38" i="9"/>
  <c r="U38" i="9"/>
  <c r="T38" i="9"/>
  <c r="S38" i="9"/>
  <c r="K38" i="9"/>
  <c r="X38" i="9" s="1"/>
  <c r="J38" i="9"/>
  <c r="W38" i="9" s="1"/>
  <c r="V37" i="9"/>
  <c r="U37" i="9"/>
  <c r="T37" i="9"/>
  <c r="S37" i="9"/>
  <c r="K37" i="9"/>
  <c r="X37" i="9" s="1"/>
  <c r="J37" i="9"/>
  <c r="W37" i="9" s="1"/>
  <c r="V36" i="9"/>
  <c r="U36" i="9"/>
  <c r="T36" i="9"/>
  <c r="S36" i="9"/>
  <c r="K36" i="9"/>
  <c r="X36" i="9" s="1"/>
  <c r="J36" i="9"/>
  <c r="W36" i="9" s="1"/>
  <c r="V35" i="9"/>
  <c r="U35" i="9"/>
  <c r="T35" i="9"/>
  <c r="S35" i="9"/>
  <c r="K35" i="9"/>
  <c r="X35" i="9" s="1"/>
  <c r="J35" i="9"/>
  <c r="W35" i="9" s="1"/>
  <c r="V34" i="9"/>
  <c r="U34" i="9"/>
  <c r="T34" i="9"/>
  <c r="S34" i="9"/>
  <c r="K34" i="9"/>
  <c r="X34" i="9" s="1"/>
  <c r="J34" i="9"/>
  <c r="W34" i="9" s="1"/>
  <c r="V33" i="9"/>
  <c r="U33" i="9"/>
  <c r="T33" i="9"/>
  <c r="S33" i="9"/>
  <c r="K33" i="9"/>
  <c r="X33" i="9" s="1"/>
  <c r="J33" i="9"/>
  <c r="W33" i="9" s="1"/>
  <c r="V32" i="9"/>
  <c r="U32" i="9"/>
  <c r="T32" i="9"/>
  <c r="S32" i="9"/>
  <c r="K32" i="9"/>
  <c r="X32" i="9" s="1"/>
  <c r="J32" i="9"/>
  <c r="W32" i="9" s="1"/>
  <c r="V31" i="9"/>
  <c r="U31" i="9"/>
  <c r="T31" i="9"/>
  <c r="S31" i="9"/>
  <c r="K31" i="9"/>
  <c r="X31" i="9" s="1"/>
  <c r="J31" i="9"/>
  <c r="W31" i="9" s="1"/>
  <c r="V30" i="9"/>
  <c r="U30" i="9"/>
  <c r="T30" i="9"/>
  <c r="S30" i="9"/>
  <c r="K30" i="9"/>
  <c r="X30" i="9" s="1"/>
  <c r="J30" i="9"/>
  <c r="W30" i="9" s="1"/>
  <c r="V29" i="9"/>
  <c r="U29" i="9"/>
  <c r="T29" i="9"/>
  <c r="S29" i="9"/>
  <c r="K29" i="9"/>
  <c r="X29" i="9" s="1"/>
  <c r="J29" i="9"/>
  <c r="W29" i="9" s="1"/>
  <c r="V28" i="9"/>
  <c r="U28" i="9"/>
  <c r="T28" i="9"/>
  <c r="S28" i="9"/>
  <c r="X28" i="9"/>
  <c r="W28" i="9"/>
  <c r="V27" i="9"/>
  <c r="U27" i="9"/>
  <c r="T27" i="9"/>
  <c r="S27" i="9"/>
  <c r="X27" i="9"/>
  <c r="W27" i="9"/>
  <c r="V26" i="9"/>
  <c r="U26" i="9"/>
  <c r="T26" i="9"/>
  <c r="S26" i="9"/>
  <c r="X26" i="9"/>
  <c r="W26" i="9"/>
  <c r="V25" i="9"/>
  <c r="U25" i="9"/>
  <c r="T25" i="9"/>
  <c r="S25" i="9"/>
  <c r="X25" i="9"/>
  <c r="W25" i="9"/>
  <c r="V24" i="9"/>
  <c r="U24" i="9"/>
  <c r="T24" i="9"/>
  <c r="S24" i="9"/>
  <c r="X24" i="9"/>
  <c r="W24" i="9"/>
  <c r="V23" i="9"/>
  <c r="U23" i="9"/>
  <c r="T23" i="9"/>
  <c r="S23" i="9"/>
  <c r="X23" i="9"/>
  <c r="V22" i="9"/>
  <c r="U22" i="9"/>
  <c r="T22" i="9"/>
  <c r="S22" i="9"/>
  <c r="X22" i="9"/>
  <c r="W22" i="9"/>
  <c r="V21" i="9"/>
  <c r="U21" i="9"/>
  <c r="T21" i="9"/>
  <c r="S21" i="9"/>
  <c r="X21" i="9"/>
  <c r="W21" i="9"/>
  <c r="V20" i="9"/>
  <c r="U20" i="9"/>
  <c r="T20" i="9"/>
  <c r="S20" i="9"/>
  <c r="X20" i="9"/>
  <c r="W20" i="9"/>
  <c r="V19" i="9"/>
  <c r="U19" i="9"/>
  <c r="T19" i="9"/>
  <c r="B19" i="9" s="1"/>
  <c r="D19" i="9" s="1"/>
  <c r="S19" i="9"/>
  <c r="V18" i="9"/>
  <c r="U18" i="9"/>
  <c r="T18" i="9"/>
  <c r="B18" i="9" s="1"/>
  <c r="D18" i="9" s="1"/>
  <c r="S18" i="9"/>
  <c r="V17" i="9"/>
  <c r="U17" i="9"/>
  <c r="T17" i="9"/>
  <c r="S17" i="9"/>
  <c r="V16" i="9"/>
  <c r="U16" i="9"/>
  <c r="T16" i="9"/>
  <c r="S16" i="9"/>
  <c r="V15" i="9"/>
  <c r="U15" i="9"/>
  <c r="T15" i="9"/>
  <c r="S15" i="9"/>
  <c r="V14" i="9"/>
  <c r="U14" i="9"/>
  <c r="T14" i="9"/>
  <c r="S14" i="9"/>
  <c r="V13" i="9"/>
  <c r="U13" i="9"/>
  <c r="T13" i="9"/>
  <c r="S13" i="9"/>
  <c r="B28" i="9" l="1"/>
  <c r="D28" i="9" s="1"/>
  <c r="B27" i="9"/>
  <c r="B26" i="9"/>
  <c r="D26" i="9" s="1"/>
  <c r="B20" i="9"/>
  <c r="D20" i="9" s="1"/>
  <c r="B21" i="9"/>
  <c r="D21" i="9" s="1"/>
  <c r="B22" i="9"/>
  <c r="B23" i="9"/>
  <c r="D23" i="9" s="1"/>
  <c r="B24" i="9"/>
  <c r="D24" i="9" s="1"/>
  <c r="B25" i="9"/>
  <c r="D25" i="9" s="1"/>
  <c r="D22" i="9"/>
  <c r="B17" i="9"/>
  <c r="D17" i="9" s="1"/>
  <c r="B16" i="9"/>
  <c r="D16" i="9" s="1"/>
  <c r="B15" i="9"/>
  <c r="D15" i="9" s="1"/>
  <c r="B14" i="9"/>
  <c r="D14" i="9" s="1"/>
  <c r="B13" i="9"/>
  <c r="D13" i="9" s="1"/>
  <c r="U19" i="8"/>
  <c r="U20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AC46" i="8" l="1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V13" i="8"/>
  <c r="U14" i="8"/>
  <c r="U15" i="8"/>
  <c r="U16" i="8"/>
  <c r="U17" i="8"/>
  <c r="U18" i="8"/>
  <c r="U13" i="8"/>
  <c r="W14" i="8"/>
  <c r="W15" i="8"/>
  <c r="W16" i="8"/>
  <c r="W17" i="8"/>
  <c r="W18" i="8"/>
  <c r="W19" i="8"/>
  <c r="W20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13" i="8"/>
  <c r="V14" i="8"/>
  <c r="V15" i="8"/>
  <c r="V16" i="8"/>
  <c r="V17" i="8"/>
  <c r="V18" i="8"/>
  <c r="V19" i="8"/>
  <c r="T19" i="8"/>
  <c r="T20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S19" i="8"/>
  <c r="S20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R19" i="8"/>
  <c r="R20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T14" i="8" l="1"/>
  <c r="T15" i="8"/>
  <c r="T16" i="8"/>
  <c r="T17" i="8"/>
  <c r="T18" i="8"/>
  <c r="T13" i="8"/>
  <c r="S13" i="8"/>
  <c r="S14" i="8"/>
  <c r="S15" i="8"/>
  <c r="S16" i="8"/>
  <c r="S17" i="8"/>
  <c r="S18" i="8"/>
  <c r="R14" i="8"/>
  <c r="R15" i="8"/>
  <c r="R16" i="8"/>
  <c r="R17" i="8"/>
  <c r="R18" i="8"/>
  <c r="R13" i="8"/>
  <c r="V20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X14" i="8"/>
  <c r="X15" i="8"/>
  <c r="X16" i="8"/>
  <c r="X17" i="8"/>
  <c r="X18" i="8"/>
  <c r="X19" i="8"/>
  <c r="X20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13" i="8"/>
  <c r="B13" i="8" s="1"/>
  <c r="D13" i="8" s="1"/>
  <c r="Y19" i="8"/>
  <c r="Y20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14" i="8"/>
  <c r="Y15" i="8"/>
  <c r="Y16" i="8"/>
  <c r="Y17" i="8"/>
  <c r="Y18" i="8"/>
  <c r="Y13" i="8"/>
  <c r="B10" i="4"/>
  <c r="B28" i="8" l="1"/>
  <c r="D28" i="8" s="1"/>
  <c r="B27" i="8"/>
  <c r="D27" i="8" s="1"/>
  <c r="B26" i="8"/>
  <c r="D26" i="8" s="1"/>
  <c r="B25" i="8"/>
  <c r="D25" i="8" s="1"/>
  <c r="B24" i="8"/>
  <c r="D24" i="8" s="1"/>
  <c r="B20" i="8"/>
  <c r="D20" i="8" s="1"/>
  <c r="B18" i="8"/>
  <c r="D18" i="8" s="1"/>
  <c r="B17" i="8"/>
  <c r="D17" i="8" s="1"/>
  <c r="B16" i="8"/>
  <c r="D16" i="8" s="1"/>
  <c r="B15" i="8"/>
  <c r="D15" i="8" s="1"/>
  <c r="B14" i="8"/>
  <c r="D14" i="8" s="1"/>
  <c r="B9" i="4"/>
  <c r="B7" i="8" l="1"/>
  <c r="S12" i="1"/>
  <c r="B22" i="7"/>
  <c r="B19" i="7"/>
  <c r="B15" i="7"/>
  <c r="B11" i="7"/>
  <c r="AM14" i="1"/>
  <c r="AM15" i="1"/>
  <c r="AM16" i="1"/>
  <c r="AM17" i="1"/>
  <c r="AM18" i="1"/>
  <c r="AM19" i="1"/>
  <c r="AM20" i="1"/>
  <c r="AM21" i="1"/>
  <c r="AM22" i="1"/>
  <c r="AM23" i="1"/>
  <c r="AM24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9" i="1"/>
  <c r="AM82" i="1"/>
  <c r="AM83" i="1"/>
  <c r="AM86" i="1"/>
  <c r="AM87" i="1"/>
  <c r="AM90" i="1"/>
  <c r="AM91" i="1"/>
  <c r="AM103" i="1"/>
  <c r="AM104" i="1"/>
  <c r="AM105" i="1"/>
  <c r="AM106" i="1"/>
  <c r="AM107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8" i="1"/>
  <c r="AK49" i="1"/>
  <c r="AK50" i="1"/>
  <c r="AK51" i="1"/>
  <c r="AK52" i="1"/>
  <c r="AK53" i="1"/>
  <c r="AK54" i="1"/>
  <c r="AK55" i="1"/>
  <c r="AK56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9" i="1"/>
  <c r="AK82" i="1"/>
  <c r="AK83" i="1"/>
  <c r="AK86" i="1"/>
  <c r="AK90" i="1"/>
  <c r="AK103" i="1"/>
  <c r="AK104" i="1"/>
  <c r="AK105" i="1"/>
  <c r="AK106" i="1"/>
  <c r="AK107" i="1"/>
  <c r="AK7" i="1"/>
  <c r="AM7" i="1"/>
  <c r="AK8" i="1"/>
  <c r="AM8" i="1"/>
  <c r="AK9" i="1"/>
  <c r="AM9" i="1"/>
  <c r="AK10" i="1"/>
  <c r="AM10" i="1"/>
  <c r="AM6" i="1"/>
  <c r="S11" i="1"/>
  <c r="D12" i="10" l="1"/>
  <c r="C8" i="11"/>
  <c r="D13" i="10"/>
  <c r="C9" i="11"/>
  <c r="S7" i="1"/>
  <c r="S10" i="1"/>
  <c r="S9" i="1"/>
  <c r="C17" i="7"/>
  <c r="C4" i="11" l="1"/>
  <c r="D14" i="10"/>
  <c r="C7" i="11"/>
  <c r="D7" i="10"/>
  <c r="C6" i="11"/>
  <c r="D5" i="10"/>
  <c r="BI6" i="1"/>
  <c r="BI7" i="1"/>
  <c r="BI8" i="1"/>
  <c r="BH6" i="1"/>
  <c r="BH7" i="1"/>
  <c r="BH8" i="1"/>
  <c r="BG6" i="1"/>
  <c r="BG7" i="1"/>
  <c r="BG8" i="1"/>
  <c r="BF6" i="1"/>
  <c r="BF7" i="1"/>
  <c r="BF8" i="1"/>
  <c r="BE6" i="1"/>
  <c r="BE7" i="1"/>
  <c r="BE8" i="1"/>
  <c r="C18" i="7"/>
  <c r="C19" i="7" l="1"/>
  <c r="A6" i="1"/>
  <c r="A2" i="15" s="1"/>
  <c r="A8" i="1"/>
  <c r="A4" i="15" s="1"/>
  <c r="A7" i="1"/>
  <c r="A3" i="15" s="1"/>
  <c r="M3" i="15" l="1"/>
  <c r="L3" i="15"/>
  <c r="K3" i="15"/>
  <c r="J3" i="15"/>
  <c r="I3" i="15"/>
  <c r="H3" i="15"/>
  <c r="G3" i="15"/>
  <c r="F3" i="15"/>
  <c r="E3" i="15"/>
  <c r="D3" i="15"/>
  <c r="M4" i="15"/>
  <c r="L4" i="15"/>
  <c r="K4" i="15"/>
  <c r="J4" i="15"/>
  <c r="I4" i="15"/>
  <c r="H4" i="15"/>
  <c r="G4" i="15"/>
  <c r="F4" i="15"/>
  <c r="E4" i="15"/>
  <c r="D4" i="15"/>
  <c r="M2" i="15"/>
  <c r="L2" i="15"/>
  <c r="K2" i="15"/>
  <c r="J2" i="15"/>
  <c r="I2" i="15"/>
  <c r="H2" i="15"/>
  <c r="G2" i="15"/>
  <c r="F2" i="15"/>
  <c r="E2" i="15"/>
  <c r="D2" i="15"/>
  <c r="A5" i="10"/>
  <c r="A4" i="11"/>
  <c r="A6" i="10"/>
  <c r="A5" i="11"/>
  <c r="A4" i="10"/>
  <c r="A3" i="1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1" i="1"/>
  <c r="BI102" i="1"/>
  <c r="BI103" i="1"/>
  <c r="BI104" i="1"/>
  <c r="BI105" i="1"/>
  <c r="BI106" i="1"/>
  <c r="BI107" i="1"/>
  <c r="BH9" i="1" l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1" i="1"/>
  <c r="BH102" i="1"/>
  <c r="BH103" i="1"/>
  <c r="BH104" i="1"/>
  <c r="BH105" i="1"/>
  <c r="BH106" i="1"/>
  <c r="BH107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1" i="1"/>
  <c r="BG102" i="1"/>
  <c r="BG103" i="1"/>
  <c r="BG104" i="1"/>
  <c r="BG105" i="1"/>
  <c r="BG106" i="1"/>
  <c r="BG107" i="1"/>
  <c r="BF107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6" i="1"/>
  <c r="BF87" i="1"/>
  <c r="BF88" i="1"/>
  <c r="BF89" i="1"/>
  <c r="BF90" i="1"/>
  <c r="BF91" i="1"/>
  <c r="BF92" i="1"/>
  <c r="BF93" i="1"/>
  <c r="BF94" i="1"/>
  <c r="BF95" i="1"/>
  <c r="BF101" i="1"/>
  <c r="BF102" i="1"/>
  <c r="BF103" i="1"/>
  <c r="BF104" i="1"/>
  <c r="BF105" i="1"/>
  <c r="BF106" i="1"/>
  <c r="BE9" i="1"/>
  <c r="BE10" i="1"/>
  <c r="BE11" i="1"/>
  <c r="BE12" i="1"/>
  <c r="BE13" i="1"/>
  <c r="BE14" i="1"/>
  <c r="A14" i="1" s="1"/>
  <c r="A10" i="15" s="1"/>
  <c r="BE15" i="1"/>
  <c r="A15" i="1" s="1"/>
  <c r="A11" i="15" s="1"/>
  <c r="BE16" i="1"/>
  <c r="BE17" i="1"/>
  <c r="BE18" i="1"/>
  <c r="A18" i="1" s="1"/>
  <c r="BE19" i="1"/>
  <c r="BE20" i="1"/>
  <c r="BE21" i="1"/>
  <c r="BE22" i="1"/>
  <c r="A22" i="1" s="1"/>
  <c r="BE23" i="1"/>
  <c r="A23" i="1" s="1"/>
  <c r="BE24" i="1"/>
  <c r="A24" i="1" s="1"/>
  <c r="BE25" i="1"/>
  <c r="BE26" i="1"/>
  <c r="A26" i="1" s="1"/>
  <c r="BE27" i="1"/>
  <c r="BE28" i="1"/>
  <c r="BE29" i="1"/>
  <c r="BE30" i="1"/>
  <c r="BE31" i="1"/>
  <c r="BE32" i="1"/>
  <c r="BE33" i="1"/>
  <c r="BE34" i="1"/>
  <c r="A34" i="1" s="1"/>
  <c r="BE35" i="1"/>
  <c r="BE36" i="1"/>
  <c r="BE37" i="1"/>
  <c r="BE38" i="1"/>
  <c r="A38" i="1" s="1"/>
  <c r="BE39" i="1"/>
  <c r="BE40" i="1"/>
  <c r="A40" i="1" s="1"/>
  <c r="B36" i="13" s="1"/>
  <c r="C36" i="13" s="1"/>
  <c r="BE41" i="1"/>
  <c r="A41" i="1" s="1"/>
  <c r="BE42" i="1"/>
  <c r="BE43" i="1"/>
  <c r="BE44" i="1"/>
  <c r="BE45" i="1"/>
  <c r="BE46" i="1"/>
  <c r="A46" i="1" s="1"/>
  <c r="BE47" i="1"/>
  <c r="BE48" i="1"/>
  <c r="BE49" i="1"/>
  <c r="BE50" i="1"/>
  <c r="A50" i="1" s="1"/>
  <c r="BE51" i="1"/>
  <c r="BE52" i="1"/>
  <c r="BE53" i="1"/>
  <c r="BE54" i="1"/>
  <c r="A54" i="1" s="1"/>
  <c r="B50" i="13" s="1"/>
  <c r="C50" i="13" s="1"/>
  <c r="BE55" i="1"/>
  <c r="A55" i="1" s="1"/>
  <c r="B51" i="13" s="1"/>
  <c r="C51" i="13" s="1"/>
  <c r="BE56" i="1"/>
  <c r="BE57" i="1"/>
  <c r="BE58" i="1"/>
  <c r="A58" i="1" s="1"/>
  <c r="B54" i="13" s="1"/>
  <c r="C54" i="13" s="1"/>
  <c r="BE59" i="1"/>
  <c r="BE60" i="1"/>
  <c r="BE61" i="1"/>
  <c r="BE62" i="1"/>
  <c r="A62" i="1" s="1"/>
  <c r="B58" i="13" s="1"/>
  <c r="C58" i="13" s="1"/>
  <c r="BE63" i="1"/>
  <c r="A63" i="1" s="1"/>
  <c r="B59" i="13" s="1"/>
  <c r="C59" i="13" s="1"/>
  <c r="BE64" i="1"/>
  <c r="BE65" i="1"/>
  <c r="BE66" i="1"/>
  <c r="A66" i="1" s="1"/>
  <c r="B62" i="13" s="1"/>
  <c r="C62" i="13" s="1"/>
  <c r="BE67" i="1"/>
  <c r="BE68" i="1"/>
  <c r="BE69" i="1"/>
  <c r="BE70" i="1"/>
  <c r="A70" i="1" s="1"/>
  <c r="BE71" i="1"/>
  <c r="A71" i="1" s="1"/>
  <c r="BE72" i="1"/>
  <c r="A72" i="1" s="1"/>
  <c r="B68" i="13" s="1"/>
  <c r="C68" i="13" s="1"/>
  <c r="BE73" i="1"/>
  <c r="A73" i="1" s="1"/>
  <c r="BE74" i="1"/>
  <c r="A74" i="1" s="1"/>
  <c r="A70" i="15" s="1"/>
  <c r="L70" i="15" s="1"/>
  <c r="BE75" i="1"/>
  <c r="BE76" i="1"/>
  <c r="BE77" i="1"/>
  <c r="BE78" i="1"/>
  <c r="BE79" i="1"/>
  <c r="BE80" i="1"/>
  <c r="BE81" i="1"/>
  <c r="BE82" i="1"/>
  <c r="BE83" i="1"/>
  <c r="BE84" i="1"/>
  <c r="BE86" i="1"/>
  <c r="BE87" i="1"/>
  <c r="BE88" i="1"/>
  <c r="BE89" i="1"/>
  <c r="BE90" i="1"/>
  <c r="BE91" i="1"/>
  <c r="BE92" i="1"/>
  <c r="BE93" i="1"/>
  <c r="BE94" i="1"/>
  <c r="BE95" i="1"/>
  <c r="BE101" i="1"/>
  <c r="BE102" i="1"/>
  <c r="BE103" i="1"/>
  <c r="BE104" i="1"/>
  <c r="BE105" i="1"/>
  <c r="BE106" i="1"/>
  <c r="BE107" i="1"/>
  <c r="A47" i="1" l="1"/>
  <c r="AW60" i="13" s="1"/>
  <c r="A39" i="1"/>
  <c r="A75" i="1"/>
  <c r="A71" i="15" s="1"/>
  <c r="L71" i="15" s="1"/>
  <c r="A67" i="1"/>
  <c r="A59" i="1"/>
  <c r="B55" i="13" s="1"/>
  <c r="C55" i="13" s="1"/>
  <c r="A27" i="1"/>
  <c r="A68" i="1"/>
  <c r="A60" i="1"/>
  <c r="B56" i="13" s="1"/>
  <c r="C56" i="13" s="1"/>
  <c r="A44" i="1"/>
  <c r="B40" i="13" s="1"/>
  <c r="C40" i="13" s="1"/>
  <c r="A36" i="1"/>
  <c r="AW49" i="13" s="1"/>
  <c r="A19" i="1"/>
  <c r="A51" i="1"/>
  <c r="A43" i="1"/>
  <c r="A39" i="15" s="1"/>
  <c r="A35" i="1"/>
  <c r="A31" i="10" s="1"/>
  <c r="A69" i="1"/>
  <c r="A61" i="1"/>
  <c r="A53" i="1"/>
  <c r="AT66" i="13" s="1"/>
  <c r="A45" i="1"/>
  <c r="B41" i="13" s="1"/>
  <c r="C41" i="13" s="1"/>
  <c r="A37" i="1"/>
  <c r="A29" i="1"/>
  <c r="A25" i="15" s="1"/>
  <c r="B88" i="13"/>
  <c r="C88" i="13" s="1"/>
  <c r="A89" i="11"/>
  <c r="A91" i="1"/>
  <c r="B87" i="13" s="1"/>
  <c r="C87" i="13" s="1"/>
  <c r="A90" i="1"/>
  <c r="B86" i="13" s="1"/>
  <c r="C86" i="13" s="1"/>
  <c r="A89" i="1"/>
  <c r="B85" i="13" s="1"/>
  <c r="C85" i="13" s="1"/>
  <c r="A88" i="1"/>
  <c r="B84" i="13" s="1"/>
  <c r="C84" i="13" s="1"/>
  <c r="A87" i="1"/>
  <c r="B83" i="13" s="1"/>
  <c r="C83" i="13" s="1"/>
  <c r="A86" i="1"/>
  <c r="B82" i="13" s="1"/>
  <c r="C82" i="13" s="1"/>
  <c r="A82" i="11"/>
  <c r="A84" i="1"/>
  <c r="A81" i="11" s="1"/>
  <c r="A83" i="1"/>
  <c r="A82" i="1"/>
  <c r="A78" i="15" s="1"/>
  <c r="A81" i="1"/>
  <c r="A78" i="11" s="1"/>
  <c r="A80" i="1"/>
  <c r="A79" i="1"/>
  <c r="B75" i="13" s="1"/>
  <c r="C75" i="13" s="1"/>
  <c r="A33" i="1"/>
  <c r="B29" i="13" s="1"/>
  <c r="C29" i="13" s="1"/>
  <c r="A64" i="1"/>
  <c r="B60" i="13" s="1"/>
  <c r="C60" i="13" s="1"/>
  <c r="A32" i="1"/>
  <c r="A28" i="15" s="1"/>
  <c r="A16" i="1"/>
  <c r="A12" i="15" s="1"/>
  <c r="G12" i="15" s="1"/>
  <c r="AW59" i="13"/>
  <c r="B42" i="13"/>
  <c r="C42" i="13" s="1"/>
  <c r="A23" i="15"/>
  <c r="J23" i="15" s="1"/>
  <c r="B23" i="13"/>
  <c r="C23" i="13" s="1"/>
  <c r="A77" i="1"/>
  <c r="A22" i="15"/>
  <c r="E22" i="15" s="1"/>
  <c r="B22" i="13"/>
  <c r="C22" i="13" s="1"/>
  <c r="A76" i="1"/>
  <c r="K71" i="15"/>
  <c r="H71" i="15"/>
  <c r="I71" i="15"/>
  <c r="B71" i="15"/>
  <c r="C71" i="15"/>
  <c r="M71" i="15"/>
  <c r="E71" i="15"/>
  <c r="G71" i="15"/>
  <c r="J71" i="15"/>
  <c r="D71" i="15"/>
  <c r="F71" i="15"/>
  <c r="A70" i="11"/>
  <c r="A69" i="15"/>
  <c r="L69" i="15" s="1"/>
  <c r="B37" i="13"/>
  <c r="C37" i="13" s="1"/>
  <c r="AW54" i="13"/>
  <c r="A20" i="15"/>
  <c r="M20" i="15" s="1"/>
  <c r="B20" i="13"/>
  <c r="C20" i="13" s="1"/>
  <c r="A35" i="15"/>
  <c r="J35" i="15" s="1"/>
  <c r="B35" i="13"/>
  <c r="C35" i="13" s="1"/>
  <c r="A19" i="15"/>
  <c r="K19" i="15" s="1"/>
  <c r="B19" i="13"/>
  <c r="C19" i="13" s="1"/>
  <c r="B34" i="13"/>
  <c r="C34" i="13" s="1"/>
  <c r="AW51" i="13"/>
  <c r="A18" i="15"/>
  <c r="M18" i="15" s="1"/>
  <c r="B18" i="13"/>
  <c r="C18" i="13" s="1"/>
  <c r="B33" i="13"/>
  <c r="C33" i="13" s="1"/>
  <c r="AW50" i="13"/>
  <c r="B64" i="13"/>
  <c r="C64" i="13" s="1"/>
  <c r="A64" i="15"/>
  <c r="L64" i="15" s="1"/>
  <c r="G70" i="15"/>
  <c r="E70" i="15"/>
  <c r="K70" i="15"/>
  <c r="M70" i="15"/>
  <c r="D70" i="15"/>
  <c r="H70" i="15"/>
  <c r="I70" i="15"/>
  <c r="B70" i="15"/>
  <c r="J70" i="15"/>
  <c r="C70" i="15"/>
  <c r="F70" i="15"/>
  <c r="AW64" i="13"/>
  <c r="B47" i="13"/>
  <c r="C47" i="13" s="1"/>
  <c r="A15" i="15"/>
  <c r="M15" i="15" s="1"/>
  <c r="B15" i="13"/>
  <c r="C15" i="13" s="1"/>
  <c r="AW63" i="13"/>
  <c r="B46" i="13"/>
  <c r="C46" i="13" s="1"/>
  <c r="AW47" i="13"/>
  <c r="B30" i="13"/>
  <c r="C30" i="13" s="1"/>
  <c r="A14" i="15"/>
  <c r="J14" i="15" s="1"/>
  <c r="B14" i="13"/>
  <c r="C14" i="13" s="1"/>
  <c r="A78" i="1"/>
  <c r="B74" i="13" s="1"/>
  <c r="C74" i="13" s="1"/>
  <c r="A72" i="11"/>
  <c r="B71" i="13"/>
  <c r="C71" i="13" s="1"/>
  <c r="A71" i="11"/>
  <c r="B70" i="13"/>
  <c r="C70" i="13" s="1"/>
  <c r="A69" i="11"/>
  <c r="A68" i="15"/>
  <c r="L68" i="15" s="1"/>
  <c r="A68" i="11"/>
  <c r="A67" i="15"/>
  <c r="L67" i="15" s="1"/>
  <c r="A67" i="11"/>
  <c r="A66" i="15"/>
  <c r="L66" i="15" s="1"/>
  <c r="A66" i="11"/>
  <c r="A65" i="15"/>
  <c r="L65" i="15" s="1"/>
  <c r="A65" i="11"/>
  <c r="A64" i="11"/>
  <c r="A63" i="15"/>
  <c r="L63" i="15" s="1"/>
  <c r="A63" i="11"/>
  <c r="A62" i="15"/>
  <c r="L62" i="15" s="1"/>
  <c r="A65" i="1"/>
  <c r="A60" i="11"/>
  <c r="A59" i="15"/>
  <c r="L59" i="15" s="1"/>
  <c r="A59" i="11"/>
  <c r="A58" i="15"/>
  <c r="L58" i="15" s="1"/>
  <c r="A58" i="11"/>
  <c r="A57" i="15"/>
  <c r="L57" i="15" s="1"/>
  <c r="A57" i="11"/>
  <c r="A57" i="1"/>
  <c r="B53" i="13" s="1"/>
  <c r="C53" i="13" s="1"/>
  <c r="A56" i="1"/>
  <c r="B52" i="13" s="1"/>
  <c r="C52" i="13" s="1"/>
  <c r="A52" i="1"/>
  <c r="A56" i="11"/>
  <c r="A55" i="11"/>
  <c r="A54" i="15"/>
  <c r="L54" i="15" s="1"/>
  <c r="A52" i="11"/>
  <c r="A51" i="15"/>
  <c r="A51" i="11"/>
  <c r="A50" i="15"/>
  <c r="A49" i="1"/>
  <c r="A48" i="1"/>
  <c r="AW61" i="13" s="1"/>
  <c r="A48" i="11"/>
  <c r="A47" i="15"/>
  <c r="A47" i="11"/>
  <c r="A46" i="15"/>
  <c r="A44" i="11"/>
  <c r="A43" i="15"/>
  <c r="A43" i="11"/>
  <c r="A42" i="15"/>
  <c r="A34" i="15"/>
  <c r="E34" i="15" s="1"/>
  <c r="A33" i="15"/>
  <c r="M33" i="15" s="1"/>
  <c r="A30" i="15"/>
  <c r="M30" i="15" s="1"/>
  <c r="A42" i="1"/>
  <c r="A40" i="11"/>
  <c r="A37" i="15"/>
  <c r="A37" i="10"/>
  <c r="A38" i="11"/>
  <c r="A36" i="15"/>
  <c r="A36" i="10"/>
  <c r="A37" i="11"/>
  <c r="K23" i="15"/>
  <c r="G23" i="15"/>
  <c r="J19" i="15"/>
  <c r="G19" i="15"/>
  <c r="F19" i="15"/>
  <c r="K12" i="15"/>
  <c r="I12" i="15"/>
  <c r="H12" i="15"/>
  <c r="M11" i="15"/>
  <c r="L11" i="15"/>
  <c r="K11" i="15"/>
  <c r="J11" i="15"/>
  <c r="I11" i="15"/>
  <c r="H11" i="15"/>
  <c r="G11" i="15"/>
  <c r="F11" i="15"/>
  <c r="E11" i="15"/>
  <c r="D11" i="15"/>
  <c r="M10" i="15"/>
  <c r="L10" i="15"/>
  <c r="K10" i="15"/>
  <c r="J10" i="15"/>
  <c r="I10" i="15"/>
  <c r="H10" i="15"/>
  <c r="G10" i="15"/>
  <c r="F10" i="15"/>
  <c r="E10" i="15"/>
  <c r="D10" i="15"/>
  <c r="A35" i="10"/>
  <c r="A36" i="11"/>
  <c r="A34" i="10"/>
  <c r="A35" i="11"/>
  <c r="A31" i="1"/>
  <c r="A33" i="10"/>
  <c r="A34" i="11"/>
  <c r="A32" i="10"/>
  <c r="A30" i="10"/>
  <c r="A31" i="11"/>
  <c r="A16" i="10"/>
  <c r="A19" i="11"/>
  <c r="A23" i="10"/>
  <c r="A11" i="11"/>
  <c r="A10" i="10"/>
  <c r="A12" i="11"/>
  <c r="A26" i="11"/>
  <c r="A17" i="10"/>
  <c r="A20" i="11"/>
  <c r="A28" i="1"/>
  <c r="A20" i="1"/>
  <c r="A12" i="1"/>
  <c r="A8" i="15" s="1"/>
  <c r="A3" i="10"/>
  <c r="A24" i="11"/>
  <c r="A2" i="10"/>
  <c r="A16" i="11"/>
  <c r="A11" i="10"/>
  <c r="A15" i="11"/>
  <c r="A25" i="1"/>
  <c r="A17" i="1"/>
  <c r="A21" i="10"/>
  <c r="A23" i="11"/>
  <c r="A25" i="10"/>
  <c r="A21" i="11"/>
  <c r="A8" i="10"/>
  <c r="A13" i="11"/>
  <c r="A30" i="1"/>
  <c r="A21" i="1"/>
  <c r="A13" i="1"/>
  <c r="A9" i="15" s="1"/>
  <c r="A11" i="1"/>
  <c r="A7" i="15" s="1"/>
  <c r="A10" i="1"/>
  <c r="A6" i="15" s="1"/>
  <c r="A9" i="1"/>
  <c r="A5" i="15" s="1"/>
  <c r="B19" i="4"/>
  <c r="B18" i="4"/>
  <c r="B17" i="4"/>
  <c r="J2" i="1"/>
  <c r="B16" i="4"/>
  <c r="AW45" i="13" l="1"/>
  <c r="D19" i="15"/>
  <c r="L19" i="15"/>
  <c r="E19" i="15"/>
  <c r="M19" i="15"/>
  <c r="AW57" i="13"/>
  <c r="A60" i="15"/>
  <c r="L60" i="15" s="1"/>
  <c r="H19" i="15"/>
  <c r="I19" i="15"/>
  <c r="A55" i="15"/>
  <c r="L55" i="15" s="1"/>
  <c r="AW56" i="13"/>
  <c r="J12" i="15"/>
  <c r="D12" i="15"/>
  <c r="L12" i="15"/>
  <c r="E12" i="15"/>
  <c r="M12" i="15"/>
  <c r="F12" i="15"/>
  <c r="F18" i="15"/>
  <c r="H18" i="15"/>
  <c r="D20" i="15"/>
  <c r="A40" i="15"/>
  <c r="A49" i="15"/>
  <c r="I18" i="15"/>
  <c r="E20" i="15"/>
  <c r="A41" i="11"/>
  <c r="A50" i="11"/>
  <c r="J18" i="15"/>
  <c r="F20" i="15"/>
  <c r="A42" i="11"/>
  <c r="K18" i="15"/>
  <c r="G20" i="15"/>
  <c r="B49" i="13"/>
  <c r="C49" i="13" s="1"/>
  <c r="D18" i="15"/>
  <c r="L18" i="15"/>
  <c r="I20" i="15"/>
  <c r="G18" i="15"/>
  <c r="A33" i="11"/>
  <c r="E18" i="15"/>
  <c r="J20" i="15"/>
  <c r="A56" i="15"/>
  <c r="L56" i="15" s="1"/>
  <c r="E23" i="15"/>
  <c r="M23" i="15"/>
  <c r="A39" i="10"/>
  <c r="A31" i="15"/>
  <c r="M31" i="15" s="1"/>
  <c r="B32" i="13"/>
  <c r="C32" i="13" s="1"/>
  <c r="B39" i="13"/>
  <c r="C39" i="13" s="1"/>
  <c r="D23" i="15"/>
  <c r="L23" i="15"/>
  <c r="A29" i="11"/>
  <c r="F23" i="15"/>
  <c r="A32" i="15"/>
  <c r="I32" i="15" s="1"/>
  <c r="B31" i="13"/>
  <c r="C31" i="13" s="1"/>
  <c r="AW48" i="13"/>
  <c r="A32" i="11"/>
  <c r="I23" i="15"/>
  <c r="A61" i="11"/>
  <c r="H23" i="15"/>
  <c r="A41" i="15"/>
  <c r="G41" i="15" s="1"/>
  <c r="K25" i="15"/>
  <c r="L25" i="15"/>
  <c r="J25" i="15"/>
  <c r="I25" i="15"/>
  <c r="H25" i="15"/>
  <c r="G25" i="15"/>
  <c r="F25" i="15"/>
  <c r="M25" i="15"/>
  <c r="E25" i="15"/>
  <c r="D25" i="15"/>
  <c r="I28" i="15"/>
  <c r="D28" i="15"/>
  <c r="H28" i="15"/>
  <c r="G28" i="15"/>
  <c r="F28" i="15"/>
  <c r="L28" i="15"/>
  <c r="M28" i="15"/>
  <c r="E28" i="15"/>
  <c r="J28" i="15"/>
  <c r="K28" i="15"/>
  <c r="D15" i="15"/>
  <c r="A18" i="10"/>
  <c r="A28" i="10"/>
  <c r="I15" i="15"/>
  <c r="A29" i="15"/>
  <c r="G29" i="15" s="1"/>
  <c r="B25" i="13"/>
  <c r="C25" i="13" s="1"/>
  <c r="A30" i="11"/>
  <c r="A29" i="10"/>
  <c r="B28" i="13"/>
  <c r="C28" i="13" s="1"/>
  <c r="F15" i="15"/>
  <c r="B76" i="13"/>
  <c r="C76" i="13" s="1"/>
  <c r="A76" i="15"/>
  <c r="M76" i="15" s="1"/>
  <c r="G78" i="15"/>
  <c r="E78" i="15"/>
  <c r="F78" i="15"/>
  <c r="R78" i="15" s="1"/>
  <c r="D78" i="15"/>
  <c r="C78" i="15"/>
  <c r="B78" i="15"/>
  <c r="K78" i="15"/>
  <c r="I78" i="15"/>
  <c r="H78" i="15"/>
  <c r="M78" i="15"/>
  <c r="L78" i="15"/>
  <c r="J78" i="15"/>
  <c r="A87" i="15"/>
  <c r="A88" i="11"/>
  <c r="A86" i="15"/>
  <c r="A87" i="11"/>
  <c r="A85" i="15"/>
  <c r="A86" i="11"/>
  <c r="A84" i="15"/>
  <c r="A85" i="11"/>
  <c r="A83" i="15"/>
  <c r="A84" i="11"/>
  <c r="A82" i="15"/>
  <c r="M82" i="15" s="1"/>
  <c r="A83" i="11"/>
  <c r="K14" i="15"/>
  <c r="L14" i="15"/>
  <c r="K20" i="15"/>
  <c r="M14" i="15"/>
  <c r="D14" i="15"/>
  <c r="E14" i="15"/>
  <c r="F14" i="15"/>
  <c r="G14" i="15"/>
  <c r="H14" i="15"/>
  <c r="A80" i="11"/>
  <c r="A79" i="15"/>
  <c r="I14" i="15"/>
  <c r="H20" i="15"/>
  <c r="A81" i="15"/>
  <c r="F81" i="15" s="1"/>
  <c r="R81" i="15" s="1"/>
  <c r="A80" i="15"/>
  <c r="F80" i="15" s="1"/>
  <c r="A79" i="11"/>
  <c r="B78" i="13"/>
  <c r="C78" i="13" s="1"/>
  <c r="A77" i="15"/>
  <c r="E77" i="15" s="1"/>
  <c r="A77" i="11"/>
  <c r="F76" i="15"/>
  <c r="R76" i="15" s="1"/>
  <c r="A75" i="15"/>
  <c r="L75" i="15" s="1"/>
  <c r="A76" i="11"/>
  <c r="F22" i="15"/>
  <c r="D33" i="15"/>
  <c r="G22" i="15"/>
  <c r="H22" i="15"/>
  <c r="I22" i="15"/>
  <c r="J22" i="15"/>
  <c r="K22" i="15"/>
  <c r="L22" i="15"/>
  <c r="M22" i="15"/>
  <c r="D22" i="15"/>
  <c r="A53" i="15"/>
  <c r="E15" i="15"/>
  <c r="F34" i="15"/>
  <c r="G15" i="15"/>
  <c r="G34" i="15"/>
  <c r="H15" i="15"/>
  <c r="H34" i="15"/>
  <c r="I34" i="15"/>
  <c r="J15" i="15"/>
  <c r="J34" i="15"/>
  <c r="K15" i="15"/>
  <c r="D35" i="15"/>
  <c r="L15" i="15"/>
  <c r="A24" i="15"/>
  <c r="G24" i="15" s="1"/>
  <c r="B24" i="13"/>
  <c r="C24" i="13" s="1"/>
  <c r="E35" i="15"/>
  <c r="A54" i="11"/>
  <c r="F35" i="15"/>
  <c r="B72" i="13"/>
  <c r="C72" i="13" s="1"/>
  <c r="A73" i="11"/>
  <c r="A72" i="15"/>
  <c r="B38" i="13"/>
  <c r="C38" i="13" s="1"/>
  <c r="AW55" i="13"/>
  <c r="J64" i="15"/>
  <c r="K64" i="15"/>
  <c r="M64" i="15"/>
  <c r="G35" i="15"/>
  <c r="H35" i="15"/>
  <c r="I35" i="15"/>
  <c r="B69" i="15"/>
  <c r="G69" i="15"/>
  <c r="C69" i="15"/>
  <c r="H69" i="15"/>
  <c r="M69" i="15"/>
  <c r="K69" i="15"/>
  <c r="D69" i="15"/>
  <c r="E69" i="15"/>
  <c r="J69" i="15"/>
  <c r="I69" i="15"/>
  <c r="F69" i="15"/>
  <c r="B73" i="13"/>
  <c r="C73" i="13" s="1"/>
  <c r="A74" i="11"/>
  <c r="A73" i="15"/>
  <c r="AT65" i="13"/>
  <c r="B48" i="13"/>
  <c r="C48" i="13" s="1"/>
  <c r="A26" i="15"/>
  <c r="G26" i="15" s="1"/>
  <c r="B26" i="13"/>
  <c r="C26" i="13" s="1"/>
  <c r="K35" i="15"/>
  <c r="AW62" i="13"/>
  <c r="B45" i="13"/>
  <c r="C45" i="13" s="1"/>
  <c r="A21" i="15"/>
  <c r="D21" i="15" s="1"/>
  <c r="B21" i="13"/>
  <c r="C21" i="13" s="1"/>
  <c r="L35" i="15"/>
  <c r="M35" i="15"/>
  <c r="A13" i="15"/>
  <c r="J13" i="15" s="1"/>
  <c r="B13" i="13"/>
  <c r="C13" i="13" s="1"/>
  <c r="A27" i="15"/>
  <c r="J27" i="15" s="1"/>
  <c r="B27" i="13"/>
  <c r="C27" i="13" s="1"/>
  <c r="L20" i="15"/>
  <c r="A28" i="11"/>
  <c r="A52" i="15"/>
  <c r="D52" i="15" s="1"/>
  <c r="A16" i="15"/>
  <c r="M16" i="15" s="1"/>
  <c r="B16" i="13"/>
  <c r="C16" i="13" s="1"/>
  <c r="A17" i="15"/>
  <c r="K17" i="15" s="1"/>
  <c r="B17" i="13"/>
  <c r="C17" i="13" s="1"/>
  <c r="A27" i="10"/>
  <c r="A53" i="11"/>
  <c r="K63" i="15"/>
  <c r="J63" i="15"/>
  <c r="J65" i="15"/>
  <c r="K65" i="15"/>
  <c r="M65" i="15"/>
  <c r="J66" i="15"/>
  <c r="K66" i="15"/>
  <c r="M66" i="15"/>
  <c r="K67" i="15"/>
  <c r="J67" i="15"/>
  <c r="M67" i="15"/>
  <c r="H67" i="15"/>
  <c r="K34" i="15"/>
  <c r="J68" i="15"/>
  <c r="M68" i="15"/>
  <c r="H68" i="15"/>
  <c r="K68" i="15"/>
  <c r="F31" i="15"/>
  <c r="A74" i="15"/>
  <c r="A75" i="11"/>
  <c r="I68" i="15"/>
  <c r="G68" i="15"/>
  <c r="F68" i="15"/>
  <c r="E68" i="15"/>
  <c r="D68" i="15"/>
  <c r="B68" i="15"/>
  <c r="C68" i="15"/>
  <c r="I67" i="15"/>
  <c r="G67" i="15"/>
  <c r="F67" i="15"/>
  <c r="E67" i="15"/>
  <c r="D67" i="15"/>
  <c r="B67" i="15"/>
  <c r="C67" i="15"/>
  <c r="I66" i="15"/>
  <c r="H66" i="15"/>
  <c r="G66" i="15"/>
  <c r="F66" i="15"/>
  <c r="E66" i="15"/>
  <c r="D66" i="15"/>
  <c r="B66" i="15"/>
  <c r="C66" i="15"/>
  <c r="I65" i="15"/>
  <c r="H65" i="15"/>
  <c r="G65" i="15"/>
  <c r="F65" i="15"/>
  <c r="E65" i="15"/>
  <c r="D65" i="15"/>
  <c r="B65" i="15"/>
  <c r="C65" i="15"/>
  <c r="I64" i="15"/>
  <c r="H64" i="15"/>
  <c r="G64" i="15"/>
  <c r="F64" i="15"/>
  <c r="E64" i="15"/>
  <c r="D64" i="15"/>
  <c r="B64" i="15"/>
  <c r="C64" i="15"/>
  <c r="E33" i="15"/>
  <c r="D30" i="15"/>
  <c r="J31" i="15"/>
  <c r="F33" i="15"/>
  <c r="L34" i="15"/>
  <c r="E30" i="15"/>
  <c r="K31" i="15"/>
  <c r="G33" i="15"/>
  <c r="M34" i="15"/>
  <c r="F30" i="15"/>
  <c r="L31" i="15"/>
  <c r="H33" i="15"/>
  <c r="G30" i="15"/>
  <c r="I33" i="15"/>
  <c r="H30" i="15"/>
  <c r="J33" i="15"/>
  <c r="I30" i="15"/>
  <c r="K33" i="15"/>
  <c r="J30" i="15"/>
  <c r="L33" i="15"/>
  <c r="J62" i="15"/>
  <c r="K62" i="15"/>
  <c r="K30" i="15"/>
  <c r="L30" i="15"/>
  <c r="D34" i="15"/>
  <c r="M63" i="15"/>
  <c r="I63" i="15"/>
  <c r="H63" i="15"/>
  <c r="G63" i="15"/>
  <c r="F63" i="15"/>
  <c r="E63" i="15"/>
  <c r="D63" i="15"/>
  <c r="B63" i="15"/>
  <c r="C63" i="15"/>
  <c r="M62" i="15"/>
  <c r="I62" i="15"/>
  <c r="H62" i="15"/>
  <c r="G62" i="15"/>
  <c r="F62" i="15"/>
  <c r="E62" i="15"/>
  <c r="D62" i="15"/>
  <c r="B62" i="15"/>
  <c r="C62" i="15"/>
  <c r="K58" i="15"/>
  <c r="J58" i="15"/>
  <c r="K59" i="15"/>
  <c r="J59" i="15"/>
  <c r="K60" i="15"/>
  <c r="J60" i="15"/>
  <c r="A62" i="11"/>
  <c r="A61" i="15"/>
  <c r="M60" i="15"/>
  <c r="I60" i="15"/>
  <c r="H60" i="15"/>
  <c r="G60" i="15"/>
  <c r="F60" i="15"/>
  <c r="E60" i="15"/>
  <c r="D60" i="15"/>
  <c r="B60" i="15"/>
  <c r="C60" i="15"/>
  <c r="M59" i="15"/>
  <c r="I59" i="15"/>
  <c r="H59" i="15"/>
  <c r="G59" i="15"/>
  <c r="F59" i="15"/>
  <c r="E59" i="15"/>
  <c r="D59" i="15"/>
  <c r="B59" i="15"/>
  <c r="C59" i="15"/>
  <c r="M58" i="15"/>
  <c r="I58" i="15"/>
  <c r="H58" i="15"/>
  <c r="G58" i="15"/>
  <c r="F58" i="15"/>
  <c r="E58" i="15"/>
  <c r="D58" i="15"/>
  <c r="B58" i="15"/>
  <c r="C58" i="15"/>
  <c r="M57" i="15"/>
  <c r="K57" i="15"/>
  <c r="J57" i="15"/>
  <c r="I57" i="15"/>
  <c r="H57" i="15"/>
  <c r="G57" i="15"/>
  <c r="F57" i="15"/>
  <c r="E57" i="15"/>
  <c r="D57" i="15"/>
  <c r="B57" i="15"/>
  <c r="C57" i="15"/>
  <c r="A49" i="11"/>
  <c r="A48" i="15"/>
  <c r="M55" i="15"/>
  <c r="K55" i="15"/>
  <c r="J55" i="15"/>
  <c r="I55" i="15"/>
  <c r="H55" i="15"/>
  <c r="G55" i="15"/>
  <c r="F55" i="15"/>
  <c r="E55" i="15"/>
  <c r="D55" i="15"/>
  <c r="B55" i="15"/>
  <c r="C55" i="15"/>
  <c r="M54" i="15"/>
  <c r="K54" i="15"/>
  <c r="J54" i="15"/>
  <c r="I54" i="15"/>
  <c r="H54" i="15"/>
  <c r="G54" i="15"/>
  <c r="F54" i="15"/>
  <c r="E54" i="15"/>
  <c r="D54" i="15"/>
  <c r="B54" i="15"/>
  <c r="C54" i="15"/>
  <c r="M53" i="15"/>
  <c r="L53" i="15"/>
  <c r="K53" i="15"/>
  <c r="J53" i="15"/>
  <c r="I53" i="15"/>
  <c r="H53" i="15"/>
  <c r="G53" i="15"/>
  <c r="F53" i="15"/>
  <c r="E53" i="15"/>
  <c r="D53" i="15"/>
  <c r="B53" i="15"/>
  <c r="C53" i="15"/>
  <c r="M51" i="15"/>
  <c r="L51" i="15"/>
  <c r="K51" i="15"/>
  <c r="J51" i="15"/>
  <c r="I51" i="15"/>
  <c r="H51" i="15"/>
  <c r="G51" i="15"/>
  <c r="F51" i="15"/>
  <c r="E51" i="15"/>
  <c r="D51" i="15"/>
  <c r="B51" i="15"/>
  <c r="C51" i="15"/>
  <c r="M50" i="15"/>
  <c r="L50" i="15"/>
  <c r="K50" i="15"/>
  <c r="J50" i="15"/>
  <c r="I50" i="15"/>
  <c r="H50" i="15"/>
  <c r="G50" i="15"/>
  <c r="F50" i="15"/>
  <c r="E50" i="15"/>
  <c r="D50" i="15"/>
  <c r="B50" i="15"/>
  <c r="C50" i="15"/>
  <c r="M49" i="15"/>
  <c r="L49" i="15"/>
  <c r="K49" i="15"/>
  <c r="J49" i="15"/>
  <c r="I49" i="15"/>
  <c r="H49" i="15"/>
  <c r="G49" i="15"/>
  <c r="F49" i="15"/>
  <c r="E49" i="15"/>
  <c r="D49" i="15"/>
  <c r="B49" i="15"/>
  <c r="C49" i="15"/>
  <c r="A45" i="11"/>
  <c r="A44" i="15"/>
  <c r="A46" i="11"/>
  <c r="A45" i="15"/>
  <c r="M47" i="15"/>
  <c r="L47" i="15"/>
  <c r="K47" i="15"/>
  <c r="J47" i="15"/>
  <c r="I47" i="15"/>
  <c r="H47" i="15"/>
  <c r="G47" i="15"/>
  <c r="F47" i="15"/>
  <c r="E47" i="15"/>
  <c r="D47" i="15"/>
  <c r="B47" i="15"/>
  <c r="C47" i="15"/>
  <c r="M46" i="15"/>
  <c r="L46" i="15"/>
  <c r="K46" i="15"/>
  <c r="J46" i="15"/>
  <c r="I46" i="15"/>
  <c r="H46" i="15"/>
  <c r="G46" i="15"/>
  <c r="F46" i="15"/>
  <c r="E46" i="15"/>
  <c r="D46" i="15"/>
  <c r="B46" i="15"/>
  <c r="C46" i="15"/>
  <c r="M43" i="15"/>
  <c r="L43" i="15"/>
  <c r="K43" i="15"/>
  <c r="J43" i="15"/>
  <c r="I43" i="15"/>
  <c r="H43" i="15"/>
  <c r="G43" i="15"/>
  <c r="F43" i="15"/>
  <c r="E43" i="15"/>
  <c r="D43" i="15"/>
  <c r="B43" i="15"/>
  <c r="C43" i="15"/>
  <c r="M42" i="15"/>
  <c r="L42" i="15"/>
  <c r="K42" i="15"/>
  <c r="J42" i="15"/>
  <c r="I42" i="15"/>
  <c r="H42" i="15"/>
  <c r="G42" i="15"/>
  <c r="F42" i="15"/>
  <c r="E42" i="15"/>
  <c r="D42" i="15"/>
  <c r="B42" i="15"/>
  <c r="C42" i="15"/>
  <c r="M40" i="15"/>
  <c r="L40" i="15"/>
  <c r="K40" i="15"/>
  <c r="J40" i="15"/>
  <c r="I40" i="15"/>
  <c r="H40" i="15"/>
  <c r="G40" i="15"/>
  <c r="F40" i="15"/>
  <c r="E40" i="15"/>
  <c r="D40" i="15"/>
  <c r="B40" i="15"/>
  <c r="C40" i="15"/>
  <c r="A38" i="15"/>
  <c r="A38" i="10"/>
  <c r="A39" i="11"/>
  <c r="M39" i="15"/>
  <c r="L39" i="15"/>
  <c r="K39" i="15"/>
  <c r="J39" i="15"/>
  <c r="I39" i="15"/>
  <c r="H39" i="15"/>
  <c r="G39" i="15"/>
  <c r="F39" i="15"/>
  <c r="E39" i="15"/>
  <c r="D39" i="15"/>
  <c r="B39" i="15"/>
  <c r="C39" i="15"/>
  <c r="M37" i="15"/>
  <c r="L37" i="15"/>
  <c r="K37" i="15"/>
  <c r="J37" i="15"/>
  <c r="I37" i="15"/>
  <c r="H37" i="15"/>
  <c r="G37" i="15"/>
  <c r="F37" i="15"/>
  <c r="E37" i="15"/>
  <c r="D37" i="15"/>
  <c r="B37" i="15"/>
  <c r="C37" i="15"/>
  <c r="M36" i="15"/>
  <c r="L36" i="15"/>
  <c r="K36" i="15"/>
  <c r="J36" i="15"/>
  <c r="I36" i="15"/>
  <c r="H36" i="15"/>
  <c r="G36" i="15"/>
  <c r="F36" i="15"/>
  <c r="E36" i="15"/>
  <c r="D36" i="15"/>
  <c r="B36" i="15"/>
  <c r="C36" i="15"/>
  <c r="M5" i="15"/>
  <c r="L5" i="15"/>
  <c r="K5" i="15"/>
  <c r="J5" i="15"/>
  <c r="I5" i="15"/>
  <c r="H5" i="15"/>
  <c r="G5" i="15"/>
  <c r="F5" i="15"/>
  <c r="E5" i="15"/>
  <c r="D5" i="15"/>
  <c r="M6" i="15"/>
  <c r="L6" i="15"/>
  <c r="K6" i="15"/>
  <c r="J6" i="15"/>
  <c r="I6" i="15"/>
  <c r="H6" i="15"/>
  <c r="G6" i="15"/>
  <c r="F6" i="15"/>
  <c r="E6" i="15"/>
  <c r="D6" i="15"/>
  <c r="M7" i="15"/>
  <c r="L7" i="15"/>
  <c r="K7" i="15"/>
  <c r="J7" i="15"/>
  <c r="I7" i="15"/>
  <c r="H7" i="15"/>
  <c r="G7" i="15"/>
  <c r="F7" i="15"/>
  <c r="E7" i="15"/>
  <c r="D7" i="15"/>
  <c r="M9" i="15"/>
  <c r="L9" i="15"/>
  <c r="K9" i="15"/>
  <c r="J9" i="15"/>
  <c r="I9" i="15"/>
  <c r="H9" i="15"/>
  <c r="G9" i="15"/>
  <c r="F9" i="15"/>
  <c r="E9" i="15"/>
  <c r="D9" i="15"/>
  <c r="I21" i="15"/>
  <c r="E21" i="15"/>
  <c r="M8" i="15"/>
  <c r="L8" i="15"/>
  <c r="K8" i="15"/>
  <c r="J8" i="15"/>
  <c r="I8" i="15"/>
  <c r="H8" i="15"/>
  <c r="G8" i="15"/>
  <c r="F8" i="15"/>
  <c r="E8" i="15"/>
  <c r="D8" i="15"/>
  <c r="K27" i="15"/>
  <c r="A31" i="14"/>
  <c r="A33" i="14"/>
  <c r="A22" i="14"/>
  <c r="A26" i="14"/>
  <c r="A30" i="14"/>
  <c r="A27" i="14"/>
  <c r="A28" i="14"/>
  <c r="A23" i="14"/>
  <c r="A15" i="10"/>
  <c r="A10" i="11"/>
  <c r="A12" i="10"/>
  <c r="A8" i="11"/>
  <c r="A9" i="10"/>
  <c r="A14" i="11"/>
  <c r="A19" i="10"/>
  <c r="A17" i="11"/>
  <c r="A24" i="10"/>
  <c r="A18" i="11"/>
  <c r="A20" i="10"/>
  <c r="A22" i="11"/>
  <c r="A22" i="10"/>
  <c r="A25" i="11"/>
  <c r="A26" i="10"/>
  <c r="A27" i="11"/>
  <c r="A14" i="10"/>
  <c r="A7" i="11"/>
  <c r="A13" i="10"/>
  <c r="A9" i="11"/>
  <c r="A7" i="10"/>
  <c r="A6" i="11"/>
  <c r="C21" i="7"/>
  <c r="C22" i="7" s="1"/>
  <c r="B4" i="4"/>
  <c r="B2" i="4"/>
  <c r="B3" i="4"/>
  <c r="D31" i="15" l="1"/>
  <c r="I31" i="15"/>
  <c r="H24" i="15"/>
  <c r="H56" i="15"/>
  <c r="E31" i="15"/>
  <c r="H31" i="15"/>
  <c r="G31" i="15"/>
  <c r="I26" i="15"/>
  <c r="C56" i="15"/>
  <c r="I56" i="15"/>
  <c r="F16" i="15"/>
  <c r="J56" i="15"/>
  <c r="I24" i="15"/>
  <c r="J76" i="15"/>
  <c r="H76" i="15"/>
  <c r="M32" i="15"/>
  <c r="I76" i="15"/>
  <c r="G76" i="15"/>
  <c r="H32" i="15"/>
  <c r="E76" i="15"/>
  <c r="J29" i="15"/>
  <c r="H29" i="15"/>
  <c r="L32" i="15"/>
  <c r="L17" i="15"/>
  <c r="F29" i="15"/>
  <c r="F32" i="15"/>
  <c r="G32" i="15"/>
  <c r="D32" i="15"/>
  <c r="D29" i="15"/>
  <c r="M29" i="15"/>
  <c r="E29" i="15"/>
  <c r="K29" i="15"/>
  <c r="K32" i="15"/>
  <c r="L29" i="15"/>
  <c r="I29" i="15"/>
  <c r="E32" i="15"/>
  <c r="J32" i="15"/>
  <c r="G16" i="15"/>
  <c r="H26" i="15"/>
  <c r="H41" i="15"/>
  <c r="I41" i="15"/>
  <c r="H16" i="15"/>
  <c r="K24" i="15"/>
  <c r="I16" i="15"/>
  <c r="K26" i="15"/>
  <c r="B41" i="15"/>
  <c r="K41" i="15"/>
  <c r="B56" i="15"/>
  <c r="K56" i="15"/>
  <c r="D24" i="15"/>
  <c r="L24" i="15"/>
  <c r="J16" i="15"/>
  <c r="D26" i="15"/>
  <c r="L26" i="15"/>
  <c r="D41" i="15"/>
  <c r="L41" i="15"/>
  <c r="D56" i="15"/>
  <c r="M56" i="15"/>
  <c r="J26" i="15"/>
  <c r="C41" i="15"/>
  <c r="E24" i="15"/>
  <c r="M24" i="15"/>
  <c r="K16" i="15"/>
  <c r="E26" i="15"/>
  <c r="M26" i="15"/>
  <c r="E41" i="15"/>
  <c r="M41" i="15"/>
  <c r="E56" i="15"/>
  <c r="J24" i="15"/>
  <c r="F24" i="15"/>
  <c r="D16" i="15"/>
  <c r="L16" i="15"/>
  <c r="F26" i="15"/>
  <c r="F41" i="15"/>
  <c r="F56" i="15"/>
  <c r="J41" i="15"/>
  <c r="E16" i="15"/>
  <c r="G56" i="15"/>
  <c r="E52" i="15"/>
  <c r="H13" i="15"/>
  <c r="K82" i="15"/>
  <c r="H82" i="15"/>
  <c r="G84" i="15"/>
  <c r="H84" i="15"/>
  <c r="I84" i="15"/>
  <c r="F84" i="15"/>
  <c r="L84" i="15"/>
  <c r="M84" i="15"/>
  <c r="B84" i="15"/>
  <c r="J84" i="15"/>
  <c r="K84" i="15"/>
  <c r="C84" i="15"/>
  <c r="D84" i="15"/>
  <c r="E84" i="15"/>
  <c r="K13" i="15"/>
  <c r="J82" i="15"/>
  <c r="G82" i="15"/>
  <c r="C85" i="15"/>
  <c r="K85" i="15"/>
  <c r="D85" i="15"/>
  <c r="L85" i="15"/>
  <c r="M85" i="15"/>
  <c r="I85" i="15"/>
  <c r="E85" i="15"/>
  <c r="J85" i="15"/>
  <c r="F85" i="15"/>
  <c r="H85" i="15"/>
  <c r="G85" i="15"/>
  <c r="B85" i="15"/>
  <c r="G86" i="15"/>
  <c r="H86" i="15"/>
  <c r="I86" i="15"/>
  <c r="K86" i="15"/>
  <c r="M86" i="15"/>
  <c r="B86" i="15"/>
  <c r="J86" i="15"/>
  <c r="C86" i="15"/>
  <c r="E86" i="15"/>
  <c r="F86" i="15"/>
  <c r="L86" i="15"/>
  <c r="D86" i="15"/>
  <c r="H80" i="15"/>
  <c r="I80" i="15"/>
  <c r="I82" i="15"/>
  <c r="C83" i="15"/>
  <c r="K83" i="15"/>
  <c r="D83" i="15"/>
  <c r="L83" i="15"/>
  <c r="E83" i="15"/>
  <c r="M83" i="15"/>
  <c r="J83" i="15"/>
  <c r="F83" i="15"/>
  <c r="G83" i="15"/>
  <c r="H83" i="15"/>
  <c r="I83" i="15"/>
  <c r="B83" i="15"/>
  <c r="C87" i="15"/>
  <c r="K87" i="15"/>
  <c r="J87" i="15"/>
  <c r="D87" i="15"/>
  <c r="L87" i="15"/>
  <c r="M87" i="15"/>
  <c r="H87" i="15"/>
  <c r="E87" i="15"/>
  <c r="G87" i="15"/>
  <c r="F87" i="15"/>
  <c r="B87" i="15"/>
  <c r="I87" i="15"/>
  <c r="F82" i="15"/>
  <c r="L82" i="15"/>
  <c r="E82" i="15"/>
  <c r="D82" i="15"/>
  <c r="C82" i="15"/>
  <c r="B82" i="15"/>
  <c r="H81" i="15"/>
  <c r="G81" i="15"/>
  <c r="B81" i="15"/>
  <c r="E81" i="15"/>
  <c r="D81" i="15"/>
  <c r="C81" i="15"/>
  <c r="F21" i="15"/>
  <c r="L13" i="15"/>
  <c r="J75" i="15"/>
  <c r="G21" i="15"/>
  <c r="M13" i="15"/>
  <c r="E75" i="15"/>
  <c r="H21" i="15"/>
  <c r="I75" i="15"/>
  <c r="B75" i="15"/>
  <c r="J21" i="15"/>
  <c r="D75" i="15"/>
  <c r="K21" i="15"/>
  <c r="G75" i="15"/>
  <c r="L21" i="15"/>
  <c r="M75" i="15"/>
  <c r="M21" i="15"/>
  <c r="H75" i="15"/>
  <c r="D77" i="15"/>
  <c r="D13" i="15"/>
  <c r="F75" i="15"/>
  <c r="G77" i="15"/>
  <c r="E13" i="15"/>
  <c r="C75" i="15"/>
  <c r="F13" i="15"/>
  <c r="K75" i="15"/>
  <c r="G13" i="15"/>
  <c r="I13" i="15"/>
  <c r="C76" i="15"/>
  <c r="L27" i="15"/>
  <c r="C77" i="15"/>
  <c r="L77" i="15"/>
  <c r="M72" i="15"/>
  <c r="L72" i="15"/>
  <c r="L61" i="15"/>
  <c r="D61" i="15"/>
  <c r="I81" i="15"/>
  <c r="M80" i="15"/>
  <c r="B76" i="15"/>
  <c r="L76" i="15"/>
  <c r="J80" i="15"/>
  <c r="J77" i="15"/>
  <c r="C79" i="15"/>
  <c r="I79" i="15"/>
  <c r="E79" i="15"/>
  <c r="M79" i="15"/>
  <c r="H79" i="15"/>
  <c r="G79" i="15"/>
  <c r="F79" i="15"/>
  <c r="R79" i="15" s="1"/>
  <c r="D79" i="15"/>
  <c r="B79" i="15"/>
  <c r="K79" i="15"/>
  <c r="J79" i="15"/>
  <c r="L79" i="15"/>
  <c r="K77" i="15"/>
  <c r="M81" i="15"/>
  <c r="D27" i="15"/>
  <c r="F77" i="15"/>
  <c r="R77" i="15" s="1"/>
  <c r="J81" i="15"/>
  <c r="M27" i="15"/>
  <c r="E27" i="15"/>
  <c r="F27" i="15"/>
  <c r="G27" i="15"/>
  <c r="H27" i="15"/>
  <c r="M77" i="15"/>
  <c r="K81" i="15"/>
  <c r="I27" i="15"/>
  <c r="K74" i="15"/>
  <c r="L74" i="15"/>
  <c r="G73" i="15"/>
  <c r="L73" i="15"/>
  <c r="I77" i="15"/>
  <c r="L81" i="15"/>
  <c r="B77" i="15"/>
  <c r="G80" i="15"/>
  <c r="B80" i="15"/>
  <c r="K80" i="15"/>
  <c r="L80" i="15"/>
  <c r="C80" i="15"/>
  <c r="E80" i="15"/>
  <c r="D80" i="15"/>
  <c r="H77" i="15"/>
  <c r="D76" i="15"/>
  <c r="K76" i="15"/>
  <c r="G74" i="15"/>
  <c r="M17" i="15"/>
  <c r="D17" i="15"/>
  <c r="E17" i="15"/>
  <c r="F17" i="15"/>
  <c r="G17" i="15"/>
  <c r="H17" i="15"/>
  <c r="I17" i="15"/>
  <c r="J17" i="15"/>
  <c r="F52" i="15"/>
  <c r="G52" i="15"/>
  <c r="J73" i="15"/>
  <c r="M73" i="15"/>
  <c r="K73" i="15"/>
  <c r="F73" i="15"/>
  <c r="E73" i="15"/>
  <c r="I73" i="15"/>
  <c r="D73" i="15"/>
  <c r="C73" i="15"/>
  <c r="B73" i="15"/>
  <c r="H73" i="15"/>
  <c r="H52" i="15"/>
  <c r="I52" i="15"/>
  <c r="J52" i="15"/>
  <c r="K52" i="15"/>
  <c r="L52" i="15"/>
  <c r="M52" i="15"/>
  <c r="B72" i="15"/>
  <c r="D72" i="15"/>
  <c r="E72" i="15"/>
  <c r="K72" i="15"/>
  <c r="G72" i="15"/>
  <c r="J72" i="15"/>
  <c r="I72" i="15"/>
  <c r="C72" i="15"/>
  <c r="H72" i="15"/>
  <c r="F72" i="15"/>
  <c r="M74" i="15"/>
  <c r="F74" i="15"/>
  <c r="R74" i="15" s="1"/>
  <c r="E74" i="15"/>
  <c r="C52" i="15"/>
  <c r="D74" i="15"/>
  <c r="B52" i="15"/>
  <c r="C74" i="15"/>
  <c r="B74" i="15"/>
  <c r="J74" i="15"/>
  <c r="H74" i="15"/>
  <c r="I74" i="15"/>
  <c r="J61" i="15"/>
  <c r="K61" i="15"/>
  <c r="M61" i="15"/>
  <c r="I61" i="15"/>
  <c r="H61" i="15"/>
  <c r="G61" i="15"/>
  <c r="F61" i="15"/>
  <c r="E61" i="15"/>
  <c r="B61" i="15"/>
  <c r="C61" i="15"/>
  <c r="M48" i="15"/>
  <c r="L48" i="15"/>
  <c r="K48" i="15"/>
  <c r="J48" i="15"/>
  <c r="I48" i="15"/>
  <c r="H48" i="15"/>
  <c r="G48" i="15"/>
  <c r="F48" i="15"/>
  <c r="E48" i="15"/>
  <c r="D48" i="15"/>
  <c r="B48" i="15"/>
  <c r="C48" i="15"/>
  <c r="M45" i="15"/>
  <c r="L45" i="15"/>
  <c r="K45" i="15"/>
  <c r="J45" i="15"/>
  <c r="I45" i="15"/>
  <c r="H45" i="15"/>
  <c r="G45" i="15"/>
  <c r="F45" i="15"/>
  <c r="E45" i="15"/>
  <c r="D45" i="15"/>
  <c r="B45" i="15"/>
  <c r="C45" i="15"/>
  <c r="M44" i="15"/>
  <c r="L44" i="15"/>
  <c r="K44" i="15"/>
  <c r="J44" i="15"/>
  <c r="I44" i="15"/>
  <c r="H44" i="15"/>
  <c r="G44" i="15"/>
  <c r="F44" i="15"/>
  <c r="E44" i="15"/>
  <c r="D44" i="15"/>
  <c r="B44" i="15"/>
  <c r="C44" i="15"/>
  <c r="M38" i="15"/>
  <c r="L38" i="15"/>
  <c r="K38" i="15"/>
  <c r="J38" i="15"/>
  <c r="I38" i="15"/>
  <c r="H38" i="15"/>
  <c r="G38" i="15"/>
  <c r="F38" i="15"/>
  <c r="E38" i="15"/>
  <c r="D38" i="15"/>
  <c r="B38" i="15"/>
  <c r="C38" i="15"/>
  <c r="A24" i="14"/>
  <c r="A32" i="14"/>
  <c r="A29" i="14"/>
  <c r="A34" i="14"/>
  <c r="A21" i="14"/>
  <c r="A25" i="14"/>
</calcChain>
</file>

<file path=xl/sharedStrings.xml><?xml version="1.0" encoding="utf-8"?>
<sst xmlns="http://schemas.openxmlformats.org/spreadsheetml/2006/main" count="4087" uniqueCount="467">
  <si>
    <t xml:space="preserve">2SLGG Experimental Data </t>
  </si>
  <si>
    <t>Created on 07.18.2019</t>
  </si>
  <si>
    <r>
      <t xml:space="preserve">Laser </t>
    </r>
    <r>
      <rPr>
        <b/>
        <sz val="10"/>
        <rFont val="HGGothicE"/>
        <family val="3"/>
        <charset val="128"/>
      </rPr>
      <t>Δ</t>
    </r>
    <r>
      <rPr>
        <b/>
        <sz val="10"/>
        <rFont val="Helvetica Neue"/>
        <family val="2"/>
      </rPr>
      <t>x (m)</t>
    </r>
  </si>
  <si>
    <t># of Tests</t>
  </si>
  <si>
    <t>Current Date</t>
  </si>
  <si>
    <t>Prepared by Jacob Rogers</t>
  </si>
  <si>
    <t>Version 2.0.1</t>
  </si>
  <si>
    <t>DO NOT EDIT THESE CELLS</t>
  </si>
  <si>
    <t>Test ID</t>
  </si>
  <si>
    <t>Date</t>
  </si>
  <si>
    <t>Test Number</t>
  </si>
  <si>
    <t>Project ID</t>
  </si>
  <si>
    <t xml:space="preserve">Projectile Material Category </t>
  </si>
  <si>
    <t xml:space="preserve">Projectile Material Type </t>
  </si>
  <si>
    <t>Specific Projectile Material</t>
  </si>
  <si>
    <t>Projectile Diameter (mm)</t>
  </si>
  <si>
    <t>Sabot (mm)</t>
  </si>
  <si>
    <t>L/D Ratio</t>
  </si>
  <si>
    <t>Projectile Mass (g)</t>
  </si>
  <si>
    <t>Projectile Package Mass (g)</t>
  </si>
  <si>
    <t>Projectile Shape</t>
  </si>
  <si>
    <t>Fire to Gate 1 Δt (ms)</t>
  </si>
  <si>
    <t>Projectile Δt (μs)</t>
  </si>
  <si>
    <t>Projectile Velocity (m/s)</t>
  </si>
  <si>
    <t>BFDC Velocity (m/s)</t>
  </si>
  <si>
    <t>Primary Powder Mass (g)</t>
  </si>
  <si>
    <t>Secondary Powder Mass (g)</t>
  </si>
  <si>
    <t>Burst Disc Score Depth (in)</t>
  </si>
  <si>
    <t>Piston Mass (g)</t>
  </si>
  <si>
    <t>Target Tank Pressure (Torr)</t>
  </si>
  <si>
    <t>Pump Tube Working Gas</t>
  </si>
  <si>
    <t>Pump Tube Pressure (psi)</t>
  </si>
  <si>
    <t>Target Material Category</t>
  </si>
  <si>
    <t>Oblique Angle (CW, deg)</t>
  </si>
  <si>
    <t xml:space="preserve">Layered? </t>
  </si>
  <si>
    <t>Target Material Type</t>
  </si>
  <si>
    <t>Target Material Layer 1</t>
  </si>
  <si>
    <t>Target Material Layer 2</t>
  </si>
  <si>
    <t>Specific Target ID Layer 1</t>
  </si>
  <si>
    <t>Witness Plate?</t>
  </si>
  <si>
    <t>Witness Plate Material Category</t>
  </si>
  <si>
    <t>Specific Witness Plate ID</t>
  </si>
  <si>
    <t>Witness Plate Standoff Distance (cm)</t>
  </si>
  <si>
    <t>Target Pre-shot Mass (kg)</t>
  </si>
  <si>
    <t>Target Post-shot Mass (kg)</t>
  </si>
  <si>
    <t>Mass Loss (kg)</t>
  </si>
  <si>
    <t>Temperature Test Condition</t>
  </si>
  <si>
    <t>Camera Delay (ns)</t>
  </si>
  <si>
    <t># of Frames</t>
  </si>
  <si>
    <t>Camera Exposure (ns)</t>
  </si>
  <si>
    <t>Camera Framerate (fps)</t>
  </si>
  <si>
    <t>Camera F-Stop (from open)</t>
  </si>
  <si>
    <t>Lens F-Stop</t>
  </si>
  <si>
    <t>Focal Length (m)</t>
  </si>
  <si>
    <t>Camera Lense Displacement from Tank Window (m)</t>
  </si>
  <si>
    <t>Target Temperature (°C)</t>
  </si>
  <si>
    <t xml:space="preserve">Room Temperature (°C) </t>
  </si>
  <si>
    <t>Room Humidity (%)</t>
  </si>
  <si>
    <t>Successful? (Y/N)</t>
  </si>
  <si>
    <t>Projectile Abbreviation</t>
  </si>
  <si>
    <t>Target Abbreviation</t>
  </si>
  <si>
    <t>Target Cat Abbreviation</t>
  </si>
  <si>
    <t>Projectile Cat Abbreviation</t>
  </si>
  <si>
    <t>Shape Abbreviation</t>
  </si>
  <si>
    <t>Comments</t>
  </si>
  <si>
    <t>HVIL</t>
  </si>
  <si>
    <t>Metal</t>
  </si>
  <si>
    <t>Aluminum (A)</t>
  </si>
  <si>
    <t>N/R</t>
  </si>
  <si>
    <t>Sphere (S)</t>
  </si>
  <si>
    <t>N/A</t>
  </si>
  <si>
    <t>H2</t>
  </si>
  <si>
    <t>Composite</t>
  </si>
  <si>
    <t>N</t>
  </si>
  <si>
    <t xml:space="preserve">CFRP (C) </t>
  </si>
  <si>
    <t>RT</t>
  </si>
  <si>
    <t>Y</t>
  </si>
  <si>
    <r>
      <t>KH-Velocity by camera</t>
    </r>
    <r>
      <rPr>
        <b/>
        <sz val="10"/>
        <color rgb="FF000000"/>
        <rFont val="Arial"/>
        <family val="2"/>
      </rPr>
      <t xml:space="preserve">/reversed petal valve, </t>
    </r>
    <r>
      <rPr>
        <sz val="10"/>
        <color rgb="FF000000"/>
        <rFont val="Arial"/>
        <family val="2"/>
      </rPr>
      <t>sabot strike</t>
    </r>
  </si>
  <si>
    <t xml:space="preserve">SCFRP (SC) </t>
  </si>
  <si>
    <t>KH-midbay HVI test</t>
  </si>
  <si>
    <t>KH-Velocity by camera</t>
  </si>
  <si>
    <t xml:space="preserve">KH - reversed petal valve </t>
  </si>
  <si>
    <t>HVIL001</t>
  </si>
  <si>
    <t>Polymer</t>
  </si>
  <si>
    <t>Polycarbonate (PC)</t>
  </si>
  <si>
    <t>HVIL01-PC-PC-D12.7-LD1.66</t>
  </si>
  <si>
    <t xml:space="preserve">Cylinder (C) </t>
  </si>
  <si>
    <t>Aluminum (AL)</t>
  </si>
  <si>
    <t>JR - velocity  by laser system (new)</t>
  </si>
  <si>
    <t>JR - over exposure</t>
  </si>
  <si>
    <t xml:space="preserve">JR - projectile breakup </t>
  </si>
  <si>
    <t>Resin (RN)</t>
  </si>
  <si>
    <t>HVIL01-PC-FLRIG-D12.7-LD1.66</t>
  </si>
  <si>
    <t>JR - projectile breakup (Formlabs), buckshot?, CAVITAR laser</t>
  </si>
  <si>
    <t>HVIL01-PC-FLT1500-D12.7-LD1.66</t>
  </si>
  <si>
    <t xml:space="preserve">JR - CAVITAR laser </t>
  </si>
  <si>
    <t>HVIL01-PC-FLDUR-D12.7-LD1.66</t>
  </si>
  <si>
    <t xml:space="preserve">JR - reversed petal valve, Formlab projectile breakup </t>
  </si>
  <si>
    <t>Stainless Steel (SS)</t>
  </si>
  <si>
    <t>HVIL01-MS-SS304-D6-LD1</t>
  </si>
  <si>
    <t>HDPE (HDPE)</t>
  </si>
  <si>
    <t>JR - sabot breakup, velocity from Shimadzu</t>
  </si>
  <si>
    <t>HVIL01-PP-HDPE-H30.5W30.5-T0.6</t>
  </si>
  <si>
    <t xml:space="preserve">JR - sabot failure </t>
  </si>
  <si>
    <t>HVIL01-PC-PC-D12.7-LD1.16</t>
  </si>
  <si>
    <t>HVIL01-MS-AL1050-D10-LD1</t>
  </si>
  <si>
    <t>JR - slight sabot strike</t>
  </si>
  <si>
    <t>JR - too much backfill</t>
  </si>
  <si>
    <t>UHMWPE (UHMWPE)</t>
  </si>
  <si>
    <t>HVIL01-PP-UHMWPE-H30.5W30.5-T0.6</t>
  </si>
  <si>
    <t xml:space="preserve">JR - NO VID, NO TRIGGER </t>
  </si>
  <si>
    <t>Polymer Layered (LAYERP)</t>
  </si>
  <si>
    <t>n/a</t>
  </si>
  <si>
    <t>JR - sabot stike, over exposure, front face</t>
  </si>
  <si>
    <t>JR - front face, oversaturation</t>
  </si>
  <si>
    <t>JR - camera oversaturation</t>
  </si>
  <si>
    <t xml:space="preserve">JR - oblique shot yaw </t>
  </si>
  <si>
    <t>4-5.6</t>
  </si>
  <si>
    <t>JR - oblique shot pitch</t>
  </si>
  <si>
    <t xml:space="preserve">JR - projectile breakup, no trigger to camera </t>
  </si>
  <si>
    <t>Steel (ST)</t>
  </si>
  <si>
    <t>HVIL01-MS-AISI1010-D10-LD1</t>
  </si>
  <si>
    <t xml:space="preserve">JR - projectile breakup/sabot failure, nothing useful on video </t>
  </si>
  <si>
    <t xml:space="preserve">JR - good shot and clean video </t>
  </si>
  <si>
    <t>JR - camera oversaturation, possible sabot failure, possible UHMWPE melt</t>
  </si>
  <si>
    <t>JR - great shot, clean video, minimal saturation</t>
  </si>
  <si>
    <t>HVIL01-MS-AISI1010-D4-LD1</t>
  </si>
  <si>
    <t xml:space="preserve">JR - sabot strike, but successful acceleration; need to increase backfill pressure </t>
  </si>
  <si>
    <t xml:space="preserve">JR - good shot, no trigger for powder data </t>
  </si>
  <si>
    <t>HVIL002</t>
  </si>
  <si>
    <t>Tool Steel (S2)</t>
  </si>
  <si>
    <t>ERDC01-MS-TOOLS2-D10-LD1</t>
  </si>
  <si>
    <t>Concrete</t>
  </si>
  <si>
    <t>High Perf. Concrete (HPC)</t>
  </si>
  <si>
    <t>ERDC01-CC-HPC-D30-T10</t>
  </si>
  <si>
    <t xml:space="preserve">JR - good shot; HPC target completely destroyed </t>
  </si>
  <si>
    <t xml:space="preserve">JR - target completely destroyed </t>
  </si>
  <si>
    <t>HVIL003</t>
  </si>
  <si>
    <t>HVIL03-MS-AL2017-D4-LD1</t>
  </si>
  <si>
    <t>PMMA (PMMA)</t>
  </si>
  <si>
    <t>HVIL03-PP-PMMA-H30.5W30.5-T0.2</t>
  </si>
  <si>
    <t>RK - probable sabot failure, laser system and camera not triggerd, no video, dented target fixture</t>
  </si>
  <si>
    <t>JR - minor sabot seperation issue</t>
  </si>
  <si>
    <t>RK - sabot strike, one petal of the sabot escaped the sabot stripper</t>
  </si>
  <si>
    <t>RK - sabot strike, two petals of the sabot escaped the sabot stripper</t>
  </si>
  <si>
    <t>HVIL03-PP-PMMA-H30.5W30.5-T0.6</t>
  </si>
  <si>
    <t>ERDC01-CC-HPC-D30.5-T15.2</t>
  </si>
  <si>
    <t>HVIL004</t>
  </si>
  <si>
    <t>Nylon (NY)</t>
  </si>
  <si>
    <t>HVIL04-PS-NYLON66-D4-LD1</t>
  </si>
  <si>
    <t>JR - sabot did not separate, need to increase backfill</t>
  </si>
  <si>
    <t>ERDC01-CC-HPC-D30.5-T2.5</t>
  </si>
  <si>
    <t>PM- First thin concrete shot, Needs more downrange view</t>
  </si>
  <si>
    <t>JR - great shot, clean video, moderate saturation</t>
  </si>
  <si>
    <t>JR - great shot, clean video, no saturation</t>
  </si>
  <si>
    <t>ERDC01-CC-HPC-D30.5-T5.1</t>
  </si>
  <si>
    <t>ERDC01-CC-HPC-D30.5-T7.6</t>
  </si>
  <si>
    <t xml:space="preserve">JR - beautiful shot </t>
  </si>
  <si>
    <t>HVIL005</t>
  </si>
  <si>
    <t>Adv. Carbon-Carbon (ACC)</t>
  </si>
  <si>
    <t>NASAL01-CP-ACC4-H7.7W15.3-T0.4</t>
  </si>
  <si>
    <t>HVIL01-PP-HDPE-H30.5W30.5-T0.4</t>
  </si>
  <si>
    <t xml:space="preserve">incorrect projectille loaded, causing failure </t>
  </si>
  <si>
    <t>HVIL01-PP-HDPE-H30.5W30.5-T0.5</t>
  </si>
  <si>
    <t xml:space="preserve">sabot strike - likely sabot striker failure </t>
  </si>
  <si>
    <t xml:space="preserve">slight sabot strike, acceptable </t>
  </si>
  <si>
    <t xml:space="preserve">wtf </t>
  </si>
  <si>
    <t xml:space="preserve">JR - tight piston </t>
  </si>
  <si>
    <t xml:space="preserve">JR - really good shot </t>
  </si>
  <si>
    <t xml:space="preserve">JR - great shot </t>
  </si>
  <si>
    <t xml:space="preserve">JR - great shot, good idea to stay above 60 g of powder for successful acceleration </t>
  </si>
  <si>
    <t xml:space="preserve">JR - great shot, lower velocity than expected </t>
  </si>
  <si>
    <t>HVIL002-HPC-RT-S2-S10.0-0087</t>
  </si>
  <si>
    <t>ERDC01-CC-HPC-D30.5-T12.7</t>
  </si>
  <si>
    <t>HVIL002-HPC-RT-S2-S10.0-0088</t>
  </si>
  <si>
    <t>HVIL001-HDPE-RT-AL-S10.0-0089</t>
  </si>
  <si>
    <t>HVIL001-HDPE-RT-AL-S10.0-0090</t>
  </si>
  <si>
    <t>HVIL001-WATER-RT-PC-C12.7-0091</t>
  </si>
  <si>
    <t>HVIL001-WATER-RT-PC-C12.7-0092</t>
  </si>
  <si>
    <t>HVIL001-UHMWPE-RT-AL-S10.0-0093</t>
  </si>
  <si>
    <t>HVIL005-ACC-RT-NY-S04.0-0094</t>
  </si>
  <si>
    <t>ITAR</t>
  </si>
  <si>
    <t>HVIL001-HDPE-RT-AL-S10.0-0095</t>
  </si>
  <si>
    <t>HVIL001-HDPE-RT-AL-S10.0-0096</t>
  </si>
  <si>
    <t>HVIL002-HPC-RT-S2-S10.0-0097</t>
  </si>
  <si>
    <t>Projectile Material</t>
  </si>
  <si>
    <t>Package Mass (g)</t>
  </si>
  <si>
    <t>Fire to Gate 1 (ms)</t>
  </si>
  <si>
    <t>Muzzle Velocity (m/s)</t>
  </si>
  <si>
    <t>Primary Charge Mass (g)</t>
  </si>
  <si>
    <t>Secondary Charge Mass (m)</t>
  </si>
  <si>
    <t>PT Pressure (psi)</t>
  </si>
  <si>
    <t>Backfill Pressure (Torr)</t>
  </si>
  <si>
    <t xml:space="preserve">Successful? </t>
  </si>
  <si>
    <t>Comment</t>
  </si>
  <si>
    <t>Peak Breech Pressure (psi)</t>
  </si>
  <si>
    <t>Impulse Time (s)</t>
  </si>
  <si>
    <t>Note</t>
  </si>
  <si>
    <t xml:space="preserve">Predicted velocity </t>
  </si>
  <si>
    <t>tight piston</t>
  </si>
  <si>
    <t>H4831 to IMR 4831</t>
  </si>
  <si>
    <t>Count</t>
  </si>
  <si>
    <t>Veloctity (m/s)</t>
  </si>
  <si>
    <t>Target Material</t>
  </si>
  <si>
    <t>Mass Loss (g)</t>
  </si>
  <si>
    <t>Velocity Corrected (km/s)</t>
  </si>
  <si>
    <t>BFDC Velocity (km/s)</t>
  </si>
  <si>
    <t>Hole Diameter (mm)</t>
  </si>
  <si>
    <r>
      <t>Hole Area (cm</t>
    </r>
    <r>
      <rPr>
        <b/>
        <vertAlign val="superscript"/>
        <sz val="10"/>
        <color rgb="FF000000"/>
        <rFont val="Arial"/>
        <family val="2"/>
      </rPr>
      <t>2</t>
    </r>
    <r>
      <rPr>
        <b/>
        <sz val="10"/>
        <color rgb="FF000000"/>
        <rFont val="Arial"/>
        <family val="2"/>
      </rPr>
      <t>)</t>
    </r>
  </si>
  <si>
    <t>Damage Area (cm2)</t>
  </si>
  <si>
    <t>C_avg (mm)</t>
  </si>
  <si>
    <t>t_avg (mm)</t>
  </si>
  <si>
    <t>Normal R_1 (mm)</t>
  </si>
  <si>
    <t>UHMWPE</t>
  </si>
  <si>
    <t>HDPE Repeat?</t>
  </si>
  <si>
    <t>HDPE</t>
  </si>
  <si>
    <t>Test #</t>
  </si>
  <si>
    <t>Velocity (m/s)</t>
  </si>
  <si>
    <t>Mass loss (kg)</t>
  </si>
  <si>
    <t>Velocity (km/s)</t>
  </si>
  <si>
    <t>Mass loss (g)</t>
  </si>
  <si>
    <t>Y/N</t>
  </si>
  <si>
    <t>HVIL Inventory</t>
  </si>
  <si>
    <t>Created on 02.25.2020</t>
  </si>
  <si>
    <t>Header Rows</t>
  </si>
  <si>
    <t>Inventory Item</t>
  </si>
  <si>
    <t>Initial</t>
  </si>
  <si>
    <t>Remaining</t>
  </si>
  <si>
    <t>Test # Prior to Restock/Recount</t>
  </si>
  <si>
    <t xml:space="preserve">Sabots </t>
  </si>
  <si>
    <t>2 mm</t>
  </si>
  <si>
    <t>4 mm</t>
  </si>
  <si>
    <t>6 mm</t>
  </si>
  <si>
    <t>10 mm</t>
  </si>
  <si>
    <t>Total</t>
  </si>
  <si>
    <t>Gases</t>
  </si>
  <si>
    <t>Bottles</t>
  </si>
  <si>
    <t>Hydrogen</t>
  </si>
  <si>
    <t>Nitrogen</t>
  </si>
  <si>
    <t>Powder</t>
  </si>
  <si>
    <t>Mass (g)</t>
  </si>
  <si>
    <t>H4831 (secondary)</t>
  </si>
  <si>
    <t>Triple Seven (primary)</t>
  </si>
  <si>
    <t>Piston</t>
  </si>
  <si>
    <t>Petal Valves</t>
  </si>
  <si>
    <t>Target Inventory List</t>
  </si>
  <si>
    <t>Created 03/08/2020</t>
  </si>
  <si>
    <t>Target Count</t>
  </si>
  <si>
    <t>Project</t>
  </si>
  <si>
    <t>Target ID</t>
  </si>
  <si>
    <t>Initial Count</t>
  </si>
  <si>
    <t>Remaining Count</t>
  </si>
  <si>
    <t xml:space="preserve">Target Material Category </t>
  </si>
  <si>
    <t>Specific Target Material</t>
  </si>
  <si>
    <t>Target Shape</t>
  </si>
  <si>
    <t>Target Thickness (mm)</t>
  </si>
  <si>
    <t>Target Diameter (mm)</t>
  </si>
  <si>
    <t>Target Width (mm)</t>
  </si>
  <si>
    <t>Target Height (mm)</t>
  </si>
  <si>
    <t>Target Weight (kg)</t>
  </si>
  <si>
    <t>Coating</t>
  </si>
  <si>
    <t>Target Set Number</t>
  </si>
  <si>
    <t>Target Material Cat. Abbrev</t>
  </si>
  <si>
    <t>Target Material Type Abbrev.</t>
  </si>
  <si>
    <t>Target Shape Abbrev.</t>
  </si>
  <si>
    <t>Diameter (cm)</t>
  </si>
  <si>
    <t>Thickness (cm)</t>
  </si>
  <si>
    <t>Height (cm)</t>
  </si>
  <si>
    <t>Width (cm)</t>
  </si>
  <si>
    <t>ERDC001</t>
  </si>
  <si>
    <t>HPC</t>
  </si>
  <si>
    <t>Cylinder (C)</t>
  </si>
  <si>
    <t>ERDC01</t>
  </si>
  <si>
    <t>NASAL001</t>
  </si>
  <si>
    <t>Ceramic</t>
  </si>
  <si>
    <t>ACC4</t>
  </si>
  <si>
    <t>Plate (P)</t>
  </si>
  <si>
    <t>SiC</t>
  </si>
  <si>
    <t>NASAL01</t>
  </si>
  <si>
    <t>ACC6</t>
  </si>
  <si>
    <t>NASAL02</t>
  </si>
  <si>
    <t>NASAL03</t>
  </si>
  <si>
    <t>HVIL01</t>
  </si>
  <si>
    <t>PMMA</t>
  </si>
  <si>
    <t>HVIL03</t>
  </si>
  <si>
    <t>% Successful Tests</t>
  </si>
  <si>
    <t>% Unsuccessful Tests</t>
  </si>
  <si>
    <t>Total # of Tests</t>
  </si>
  <si>
    <t>Projectile</t>
  </si>
  <si>
    <t>Parameter</t>
  </si>
  <si>
    <t>Value</t>
  </si>
  <si>
    <t xml:space="preserve"># of Metal </t>
  </si>
  <si>
    <t># of Polymer</t>
  </si>
  <si>
    <t>Target</t>
  </si>
  <si>
    <t># of Ceramic</t>
  </si>
  <si>
    <t># of Composite</t>
  </si>
  <si>
    <t>Material Category</t>
  </si>
  <si>
    <t>Shapes</t>
  </si>
  <si>
    <t>Material Type</t>
  </si>
  <si>
    <t>Working Gas</t>
  </si>
  <si>
    <t>Score Depth</t>
  </si>
  <si>
    <t>Other</t>
  </si>
  <si>
    <t>Material Grade</t>
  </si>
  <si>
    <t>Specific Material Abbrev.</t>
  </si>
  <si>
    <t>Vendor</t>
  </si>
  <si>
    <t>SS304</t>
  </si>
  <si>
    <t>FormLabs</t>
  </si>
  <si>
    <t>N2</t>
  </si>
  <si>
    <t>Ogive (O)</t>
  </si>
  <si>
    <t>AL1050</t>
  </si>
  <si>
    <t>Salem</t>
  </si>
  <si>
    <t>PC</t>
  </si>
  <si>
    <t>RGP Balls</t>
  </si>
  <si>
    <t>McMaster</t>
  </si>
  <si>
    <t>STA36</t>
  </si>
  <si>
    <t xml:space="preserve">SCFRP (SCFRP ) </t>
  </si>
  <si>
    <t xml:space="preserve">CFRP (CFRP) </t>
  </si>
  <si>
    <t>FLT1500</t>
  </si>
  <si>
    <t>FLDUR</t>
  </si>
  <si>
    <t>FLRIG</t>
  </si>
  <si>
    <t>AISI1010</t>
  </si>
  <si>
    <t>TOOLS2</t>
  </si>
  <si>
    <t>AL 2017 G200</t>
  </si>
  <si>
    <t>AL2017</t>
  </si>
  <si>
    <t>NYLON66</t>
  </si>
  <si>
    <t>Acronym</t>
  </si>
  <si>
    <t>Meaning</t>
  </si>
  <si>
    <t xml:space="preserve">not recorded </t>
  </si>
  <si>
    <t>LT</t>
  </si>
  <si>
    <t>low temperature</t>
  </si>
  <si>
    <t>room temperature</t>
  </si>
  <si>
    <t>HT</t>
  </si>
  <si>
    <t>high temperature</t>
  </si>
  <si>
    <t>hydrogen gas</t>
  </si>
  <si>
    <t>nitrogen gas</t>
  </si>
  <si>
    <t>SCFRP</t>
  </si>
  <si>
    <t>CFRP</t>
  </si>
  <si>
    <t xml:space="preserve">HPC </t>
  </si>
  <si>
    <t>high performance concrete</t>
  </si>
  <si>
    <t>polycarbonate</t>
  </si>
  <si>
    <t xml:space="preserve">Normalized Mass </t>
  </si>
  <si>
    <t>Projectile Inventory List</t>
  </si>
  <si>
    <t>Created 03/09/2020</t>
  </si>
  <si>
    <t>Projectile ID</t>
  </si>
  <si>
    <t>Projectile Material Type</t>
  </si>
  <si>
    <t>Projectile L/D Ratio</t>
  </si>
  <si>
    <t>Average Projectile Weight (g)</t>
  </si>
  <si>
    <t>Quoted Unit Price (USD)</t>
  </si>
  <si>
    <t>Projectile Set Number</t>
  </si>
  <si>
    <t>Material Cat. Abbrev</t>
  </si>
  <si>
    <t>Material Type Abbrev.</t>
  </si>
  <si>
    <t>Shape Abbrev.</t>
  </si>
  <si>
    <t>Diameter (mm)</t>
  </si>
  <si>
    <t>L/D</t>
  </si>
  <si>
    <t>free-demo</t>
  </si>
  <si>
    <t>HVIL04</t>
  </si>
  <si>
    <t>Edge Lengths (cm)</t>
  </si>
  <si>
    <r>
      <t>Surface Area (cm</t>
    </r>
    <r>
      <rPr>
        <b/>
        <vertAlign val="superscript"/>
        <sz val="10"/>
        <color rgb="FF000000"/>
        <rFont val="Helvetica Neue"/>
        <family val="2"/>
      </rPr>
      <t>2</t>
    </r>
    <r>
      <rPr>
        <b/>
        <sz val="10"/>
        <color rgb="FF000000"/>
        <rFont val="Helvetica Neue"/>
        <family val="2"/>
      </rPr>
      <t>)</t>
    </r>
  </si>
  <si>
    <t>Thicknesses (mm)</t>
  </si>
  <si>
    <r>
      <t>Hole Dimensions (mm, mm</t>
    </r>
    <r>
      <rPr>
        <b/>
        <vertAlign val="superscript"/>
        <sz val="10"/>
        <color rgb="FF000000"/>
        <rFont val="Helvetica Neue"/>
        <family val="2"/>
      </rPr>
      <t>2</t>
    </r>
    <r>
      <rPr>
        <b/>
        <sz val="10"/>
        <color rgb="FF000000"/>
        <rFont val="Helvetica Neue"/>
        <family val="2"/>
      </rPr>
      <t>)</t>
    </r>
  </si>
  <si>
    <t>Crater Height (mm)</t>
  </si>
  <si>
    <t>Notes</t>
  </si>
  <si>
    <t>D1</t>
  </si>
  <si>
    <t>D2</t>
  </si>
  <si>
    <t>D3</t>
  </si>
  <si>
    <t>D4</t>
  </si>
  <si>
    <t>T1</t>
  </si>
  <si>
    <t>T2</t>
  </si>
  <si>
    <t>T3</t>
  </si>
  <si>
    <t>T4</t>
  </si>
  <si>
    <t>Avg.</t>
  </si>
  <si>
    <t>Xin</t>
  </si>
  <si>
    <t>Yin</t>
  </si>
  <si>
    <t>Xin &gt;?&lt; Yin</t>
  </si>
  <si>
    <t>Hole Area</t>
  </si>
  <si>
    <t>Xiout</t>
  </si>
  <si>
    <t>Yiout</t>
  </si>
  <si>
    <t>Damage Area 1</t>
  </si>
  <si>
    <t>Xeout</t>
  </si>
  <si>
    <t>Yeout</t>
  </si>
  <si>
    <t>Damage Area 2</t>
  </si>
  <si>
    <t>Largest Damage Area</t>
  </si>
  <si>
    <t>Ci1</t>
  </si>
  <si>
    <t>Ci2</t>
  </si>
  <si>
    <t>Ci3</t>
  </si>
  <si>
    <t>Ci4</t>
  </si>
  <si>
    <t>Ci Avg.</t>
  </si>
  <si>
    <t>Ce1</t>
  </si>
  <si>
    <t>Ce2</t>
  </si>
  <si>
    <t>Ce3</t>
  </si>
  <si>
    <t>Ce4</t>
  </si>
  <si>
    <t>Ce Avg.</t>
  </si>
  <si>
    <t>C Avg.</t>
  </si>
  <si>
    <t>max c_avg</t>
  </si>
  <si>
    <t>complete fragmentation</t>
  </si>
  <si>
    <t>Target Den (g/cc)</t>
  </si>
  <si>
    <t>Target t (mm)</t>
  </si>
  <si>
    <t>Pro Mass (g)</t>
  </si>
  <si>
    <t>Pro Mass (kg)</t>
  </si>
  <si>
    <t>Delta t (us)</t>
  </si>
  <si>
    <t>Exit Velocity (m/s)</t>
  </si>
  <si>
    <t>St Dev</t>
  </si>
  <si>
    <t>Impact ^2 (m2/s2)</t>
  </si>
  <si>
    <t>Exit ^2 (m2/s2)</t>
  </si>
  <si>
    <t>D1 (in)</t>
  </si>
  <si>
    <t>D2 (in)</t>
  </si>
  <si>
    <t>R1 (mm)</t>
  </si>
  <si>
    <t>Hole Dia</t>
  </si>
  <si>
    <t>R2 (mm)</t>
  </si>
  <si>
    <t>R1^2 (mm^2)</t>
  </si>
  <si>
    <t>R2^2 (mm^2)</t>
  </si>
  <si>
    <t>Delta M (g)</t>
  </si>
  <si>
    <t>Revised</t>
  </si>
  <si>
    <t>Hole (mm3)</t>
  </si>
  <si>
    <t>Annulus (mm3)</t>
  </si>
  <si>
    <t>Impact Energy (J)</t>
  </si>
  <si>
    <t>Equiv Eject R1</t>
  </si>
  <si>
    <t>A2</t>
  </si>
  <si>
    <t>4mm Al</t>
  </si>
  <si>
    <t>A3</t>
  </si>
  <si>
    <t>B15</t>
  </si>
  <si>
    <t>B16</t>
  </si>
  <si>
    <t>B18</t>
  </si>
  <si>
    <t>B27</t>
  </si>
  <si>
    <t>B29</t>
  </si>
  <si>
    <t>B33</t>
  </si>
  <si>
    <t>B19</t>
  </si>
  <si>
    <t>HPDE</t>
  </si>
  <si>
    <t>B20</t>
  </si>
  <si>
    <t>B21</t>
  </si>
  <si>
    <t>B34</t>
  </si>
  <si>
    <t>B35</t>
  </si>
  <si>
    <t>B38</t>
  </si>
  <si>
    <t>d</t>
  </si>
  <si>
    <t>t/d</t>
  </si>
  <si>
    <t>alpha</t>
  </si>
  <si>
    <t>Test</t>
  </si>
  <si>
    <t>Material</t>
  </si>
  <si>
    <t xml:space="preserve">Calculated/Measured? </t>
  </si>
  <si>
    <t>Omit? (Y/N)</t>
  </si>
  <si>
    <t>Velocity Corrected (m/s)</t>
  </si>
  <si>
    <t>Hole Diameter Normalized</t>
  </si>
  <si>
    <r>
      <t>Hole Area (mm</t>
    </r>
    <r>
      <rPr>
        <b/>
        <vertAlign val="superscript"/>
        <sz val="10"/>
        <color rgb="FF000000"/>
        <rFont val="Arial"/>
        <family val="2"/>
      </rPr>
      <t>2</t>
    </r>
    <r>
      <rPr>
        <b/>
        <sz val="10"/>
        <color rgb="FF000000"/>
        <rFont val="Arial"/>
        <family val="2"/>
      </rPr>
      <t>)</t>
    </r>
  </si>
  <si>
    <r>
      <t>Normalized Hole Area (mm</t>
    </r>
    <r>
      <rPr>
        <b/>
        <vertAlign val="superscript"/>
        <sz val="10"/>
        <color rgb="FF000000"/>
        <rFont val="Arial"/>
        <family val="2"/>
      </rPr>
      <t>2</t>
    </r>
    <r>
      <rPr>
        <b/>
        <sz val="10"/>
        <color rgb="FF000000"/>
        <rFont val="Arial"/>
        <family val="2"/>
      </rPr>
      <t>)</t>
    </r>
  </si>
  <si>
    <t xml:space="preserve">Normalized Damage Area </t>
  </si>
  <si>
    <t>Average Min Distance</t>
  </si>
  <si>
    <t>Average Centroid Distance</t>
  </si>
  <si>
    <t>Average Max Distance</t>
  </si>
  <si>
    <t>HVIL001-HDPE-RT-AL-S10.0-0059</t>
  </si>
  <si>
    <t>HVIL002-HPC-RT-S2-S10.0-0065</t>
  </si>
  <si>
    <t>HVIL001-UHMWPE-RT-AL-S10.0-0067</t>
  </si>
  <si>
    <t>HVIL001-UHMWPE-RT-AL-S10.0-0069</t>
  </si>
  <si>
    <t>HVIL001-UHMWPE-RT-AL-S10.0-0070</t>
  </si>
  <si>
    <t>HVIL003-PMMA-RT-AL-S04.0-0074</t>
  </si>
  <si>
    <t>HVIL002-HPC-RT-ST-S10.0-0076</t>
  </si>
  <si>
    <t>HVIL001-UHMWPE-RT-AL-S10.0-0077</t>
  </si>
  <si>
    <t>HVIL005-ACC-RT-NY-S04.0-0079</t>
  </si>
  <si>
    <t>HVIL002-HPC-RT-ST-S10.0-0080</t>
  </si>
  <si>
    <t>HVIL001-UHMWPE-RT-AL-S10.0-0081</t>
  </si>
  <si>
    <t>HVIL001-UHMWPE-RT-AL-S10.0-0083</t>
  </si>
  <si>
    <t>HVIL001-UHMWPE-RT-AL-S10.0-0084</t>
  </si>
  <si>
    <t>HVIL001-HDPE-RT-AL-S10.0-0085</t>
  </si>
  <si>
    <t>HVIL001-HDPE-RT-AL-S10.0-0086</t>
  </si>
  <si>
    <t>Velocity</t>
  </si>
  <si>
    <t>Backfill Pressure</t>
  </si>
  <si>
    <t>Sabot Radius</t>
  </si>
  <si>
    <t>Suggested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</si>
</sst>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409]m/d/yy\ h:mm\ AM/PM;@"/>
    <numFmt numFmtId="165" formatCode="0000"/>
    <numFmt numFmtId="166" formatCode="0.0"/>
    <numFmt numFmtId="167" formatCode="_(* #,##0_);_(* \(#,##0\);_(* &quot;-&quot;??_);_(@_)"/>
    <numFmt numFmtId="168" formatCode="0.000"/>
    <numFmt numFmtId="169" formatCode="&quot;$&quot;#,##0.00"/>
    <numFmt numFmtId="170" formatCode="0.000000"/>
    <numFmt numFmtId="171" formatCode="[$-F800]dddd\,\ mmmm\ dd\,\ yyyy"/>
    <numFmt numFmtId="172" formatCode="0.0000"/>
    <numFmt numFmtId="173" formatCode="0.00000"/>
    <numFmt numFmtId="174" formatCode="0.00000E+00"/>
  </numFmts>
  <fonts count="30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b/>
      <sz val="12"/>
      <name val="Helvetica Neue"/>
      <family val="2"/>
    </font>
    <font>
      <sz val="10"/>
      <name val="Helvetica Neue"/>
      <family val="2"/>
    </font>
    <font>
      <sz val="10"/>
      <color rgb="FF000000"/>
      <name val="Helvetica Neue"/>
      <family val="2"/>
    </font>
    <font>
      <b/>
      <sz val="10"/>
      <name val="Helvetica Neue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0000"/>
      <name val="Helvetica"/>
      <family val="2"/>
    </font>
    <font>
      <sz val="10"/>
      <color rgb="FF000000"/>
      <name val="Roboto"/>
    </font>
    <font>
      <sz val="8"/>
      <name val="Arial"/>
      <family val="2"/>
    </font>
    <font>
      <b/>
      <sz val="10"/>
      <color rgb="FFFFFFFF"/>
      <name val="Arial"/>
      <family val="2"/>
    </font>
    <font>
      <b/>
      <sz val="10"/>
      <name val="HGGothicE"/>
      <family val="3"/>
      <charset val="128"/>
    </font>
    <font>
      <b/>
      <sz val="10"/>
      <color rgb="FF000000"/>
      <name val="Arial"/>
      <family val="2"/>
    </font>
    <font>
      <b/>
      <sz val="10"/>
      <color rgb="FFFFFFFF"/>
      <name val="Helvetica Neue"/>
      <family val="2"/>
    </font>
    <font>
      <sz val="10"/>
      <color rgb="FFFFFFFF"/>
      <name val="Arial"/>
      <family val="2"/>
    </font>
    <font>
      <sz val="10"/>
      <color theme="0"/>
      <name val="Arial"/>
      <family val="2"/>
    </font>
    <font>
      <b/>
      <vertAlign val="superscript"/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vertAlign val="superscript"/>
      <sz val="10"/>
      <color rgb="FF000000"/>
      <name val="Arial"/>
      <family val="2"/>
    </font>
    <font>
      <sz val="10"/>
      <color rgb="FF002060"/>
      <name val="Helvetica Neue"/>
      <family val="2"/>
    </font>
    <font>
      <b/>
      <sz val="10"/>
      <color rgb="FFF2F2F2"/>
      <name val="Arial"/>
      <family val="2"/>
    </font>
    <font>
      <sz val="10"/>
      <color theme="1"/>
      <name val="Helvetica Neue"/>
      <family val="2"/>
    </font>
    <font>
      <b/>
      <sz val="10"/>
      <color theme="1"/>
      <name val="Helvetica Neue"/>
      <family val="2"/>
    </font>
    <font>
      <sz val="8"/>
      <name val="Arial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E1E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rgb="FFC6EFCE"/>
      </patternFill>
    </fill>
  </fills>
  <borders count="1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indexed="64"/>
      </right>
      <top style="thin">
        <color rgb="FF000000"/>
      </top>
      <bottom style="thick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 style="thick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664">
    <xf numFmtId="0" fontId="0" fillId="0" borderId="0" xfId="0" applyFont="1" applyAlignment="1"/>
    <xf numFmtId="0" fontId="0" fillId="0" borderId="0" xfId="0" applyFont="1" applyBorder="1" applyAlignment="1"/>
    <xf numFmtId="0" fontId="3" fillId="3" borderId="12" xfId="0" applyFont="1" applyFill="1" applyBorder="1" applyAlignment="1"/>
    <xf numFmtId="0" fontId="3" fillId="3" borderId="14" xfId="0" applyFont="1" applyFill="1" applyBorder="1" applyAlignment="1"/>
    <xf numFmtId="0" fontId="3" fillId="3" borderId="16" xfId="0" applyFont="1" applyFill="1" applyBorder="1" applyAlignment="1"/>
    <xf numFmtId="0" fontId="0" fillId="0" borderId="17" xfId="0" applyFont="1" applyBorder="1" applyAlignment="1"/>
    <xf numFmtId="0" fontId="3" fillId="3" borderId="17" xfId="0" applyFont="1" applyFill="1" applyBorder="1" applyAlignment="1"/>
    <xf numFmtId="0" fontId="2" fillId="3" borderId="20" xfId="0" applyFont="1" applyFill="1" applyBorder="1" applyAlignment="1"/>
    <xf numFmtId="0" fontId="0" fillId="0" borderId="21" xfId="0" applyFont="1" applyBorder="1" applyAlignment="1"/>
    <xf numFmtId="0" fontId="2" fillId="3" borderId="16" xfId="0" applyFont="1" applyFill="1" applyBorder="1" applyAlignment="1"/>
    <xf numFmtId="0" fontId="2" fillId="3" borderId="14" xfId="0" applyFont="1" applyFill="1" applyBorder="1" applyAlignment="1"/>
    <xf numFmtId="0" fontId="0" fillId="0" borderId="15" xfId="0" applyFont="1" applyBorder="1" applyAlignment="1"/>
    <xf numFmtId="0" fontId="0" fillId="0" borderId="22" xfId="0" applyFont="1" applyBorder="1" applyAlignment="1"/>
    <xf numFmtId="0" fontId="7" fillId="0" borderId="0" xfId="0" applyFont="1"/>
    <xf numFmtId="0" fontId="7" fillId="0" borderId="0" xfId="0" applyFont="1" applyAlignment="1"/>
    <xf numFmtId="0" fontId="8" fillId="0" borderId="0" xfId="0" applyFont="1" applyAlignment="1"/>
    <xf numFmtId="165" fontId="7" fillId="3" borderId="10" xfId="0" applyNumberFormat="1" applyFont="1" applyFill="1" applyBorder="1"/>
    <xf numFmtId="0" fontId="9" fillId="2" borderId="3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4" borderId="23" xfId="0" applyFont="1" applyFill="1" applyBorder="1" applyAlignment="1">
      <alignment horizontal="center" vertical="center" wrapText="1"/>
    </xf>
    <xf numFmtId="0" fontId="7" fillId="2" borderId="6" xfId="0" applyNumberFormat="1" applyFont="1" applyFill="1" applyBorder="1"/>
    <xf numFmtId="164" fontId="7" fillId="0" borderId="8" xfId="0" applyNumberFormat="1" applyFont="1" applyFill="1" applyBorder="1"/>
    <xf numFmtId="0" fontId="7" fillId="0" borderId="2" xfId="0" applyFont="1" applyBorder="1"/>
    <xf numFmtId="0" fontId="7" fillId="0" borderId="7" xfId="0" applyFont="1" applyFill="1" applyBorder="1"/>
    <xf numFmtId="0" fontId="7" fillId="0" borderId="0" xfId="0" applyFont="1" applyBorder="1"/>
    <xf numFmtId="0" fontId="7" fillId="0" borderId="24" xfId="0" applyFont="1" applyBorder="1"/>
    <xf numFmtId="0" fontId="7" fillId="0" borderId="4" xfId="0" applyFont="1" applyBorder="1"/>
    <xf numFmtId="167" fontId="7" fillId="0" borderId="0" xfId="1" applyNumberFormat="1" applyFont="1"/>
    <xf numFmtId="167" fontId="9" fillId="2" borderId="5" xfId="1" applyNumberFormat="1" applyFont="1" applyFill="1" applyBorder="1" applyAlignment="1">
      <alignment horizontal="center" vertical="center" wrapText="1"/>
    </xf>
    <xf numFmtId="167" fontId="7" fillId="0" borderId="7" xfId="1" applyNumberFormat="1" applyFont="1" applyFill="1" applyBorder="1"/>
    <xf numFmtId="167" fontId="8" fillId="0" borderId="0" xfId="1" applyNumberFormat="1" applyFont="1" applyAlignment="1"/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left"/>
    </xf>
    <xf numFmtId="164" fontId="7" fillId="0" borderId="31" xfId="0" applyNumberFormat="1" applyFont="1" applyFill="1" applyBorder="1"/>
    <xf numFmtId="164" fontId="7" fillId="0" borderId="32" xfId="0" applyNumberFormat="1" applyFont="1" applyFill="1" applyBorder="1"/>
    <xf numFmtId="0" fontId="7" fillId="0" borderId="22" xfId="0" applyFont="1" applyBorder="1"/>
    <xf numFmtId="165" fontId="7" fillId="0" borderId="22" xfId="0" applyNumberFormat="1" applyFont="1" applyBorder="1"/>
    <xf numFmtId="165" fontId="7" fillId="0" borderId="30" xfId="0" applyNumberFormat="1" applyFont="1" applyBorder="1"/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7" fillId="0" borderId="25" xfId="0" applyFont="1" applyBorder="1"/>
    <xf numFmtId="0" fontId="12" fillId="0" borderId="22" xfId="0" applyFont="1" applyBorder="1" applyAlignment="1">
      <alignment wrapText="1"/>
    </xf>
    <xf numFmtId="0" fontId="2" fillId="0" borderId="34" xfId="0" applyFont="1" applyBorder="1" applyAlignment="1">
      <alignment wrapText="1"/>
    </xf>
    <xf numFmtId="0" fontId="2" fillId="0" borderId="22" xfId="0" applyFont="1" applyBorder="1" applyAlignment="1"/>
    <xf numFmtId="0" fontId="7" fillId="3" borderId="35" xfId="0" applyFont="1" applyFill="1" applyBorder="1" applyAlignment="1">
      <alignment horizontal="center"/>
    </xf>
    <xf numFmtId="168" fontId="7" fillId="0" borderId="4" xfId="0" applyNumberFormat="1" applyFont="1" applyBorder="1"/>
    <xf numFmtId="166" fontId="7" fillId="0" borderId="7" xfId="0" applyNumberFormat="1" applyFont="1" applyFill="1" applyBorder="1"/>
    <xf numFmtId="165" fontId="7" fillId="0" borderId="0" xfId="0" applyNumberFormat="1" applyFont="1" applyFill="1" applyBorder="1"/>
    <xf numFmtId="168" fontId="7" fillId="0" borderId="2" xfId="0" applyNumberFormat="1" applyFont="1" applyBorder="1"/>
    <xf numFmtId="0" fontId="0" fillId="0" borderId="24" xfId="0" applyFont="1" applyBorder="1" applyAlignment="1"/>
    <xf numFmtId="0" fontId="7" fillId="0" borderId="0" xfId="0" applyFont="1" applyFill="1" applyBorder="1"/>
    <xf numFmtId="0" fontId="7" fillId="0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2" fillId="3" borderId="38" xfId="0" applyFont="1" applyFill="1" applyBorder="1" applyAlignment="1">
      <alignment horizontal="right"/>
    </xf>
    <xf numFmtId="0" fontId="2" fillId="0" borderId="0" xfId="0" applyFont="1" applyBorder="1" applyAlignment="1"/>
    <xf numFmtId="0" fontId="2" fillId="0" borderId="39" xfId="0" applyFont="1" applyBorder="1" applyAlignment="1"/>
    <xf numFmtId="0" fontId="2" fillId="0" borderId="40" xfId="0" applyFont="1" applyBorder="1" applyAlignment="1"/>
    <xf numFmtId="0" fontId="2" fillId="3" borderId="0" xfId="0" applyFont="1" applyFill="1" applyBorder="1" applyAlignment="1">
      <alignment horizontal="right"/>
    </xf>
    <xf numFmtId="0" fontId="0" fillId="0" borderId="39" xfId="0" applyFont="1" applyBorder="1" applyAlignment="1"/>
    <xf numFmtId="0" fontId="0" fillId="0" borderId="41" xfId="0" applyFont="1" applyBorder="1" applyAlignment="1"/>
    <xf numFmtId="0" fontId="0" fillId="0" borderId="40" xfId="0" applyFont="1" applyBorder="1" applyAlignment="1"/>
    <xf numFmtId="0" fontId="2" fillId="3" borderId="44" xfId="0" applyFont="1" applyFill="1" applyBorder="1" applyAlignment="1"/>
    <xf numFmtId="0" fontId="2" fillId="0" borderId="45" xfId="0" applyFont="1" applyBorder="1" applyAlignment="1">
      <alignment horizontal="left" indent="2"/>
    </xf>
    <xf numFmtId="0" fontId="2" fillId="0" borderId="46" xfId="0" applyFont="1" applyBorder="1" applyAlignment="1">
      <alignment horizontal="left" indent="2"/>
    </xf>
    <xf numFmtId="0" fontId="2" fillId="0" borderId="47" xfId="0" applyFont="1" applyBorder="1" applyAlignment="1">
      <alignment horizontal="left" indent="2"/>
    </xf>
    <xf numFmtId="0" fontId="2" fillId="3" borderId="45" xfId="0" applyFont="1" applyFill="1" applyBorder="1" applyAlignment="1"/>
    <xf numFmtId="0" fontId="2" fillId="0" borderId="48" xfId="0" applyFont="1" applyBorder="1" applyAlignment="1">
      <alignment horizontal="left" indent="2"/>
    </xf>
    <xf numFmtId="0" fontId="2" fillId="0" borderId="46" xfId="0" applyFont="1" applyFill="1" applyBorder="1" applyAlignment="1">
      <alignment horizontal="left" indent="2"/>
    </xf>
    <xf numFmtId="0" fontId="2" fillId="0" borderId="49" xfId="0" applyFont="1" applyFill="1" applyBorder="1" applyAlignment="1">
      <alignment horizontal="left" indent="2"/>
    </xf>
    <xf numFmtId="0" fontId="0" fillId="0" borderId="50" xfId="0" applyFont="1" applyBorder="1" applyAlignment="1"/>
    <xf numFmtId="0" fontId="1" fillId="0" borderId="24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168" fontId="0" fillId="0" borderId="27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4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22" xfId="0" applyFont="1" applyFill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1" fillId="0" borderId="36" xfId="0" applyFont="1" applyFill="1" applyBorder="1" applyAlignment="1">
      <alignment horizontal="left"/>
    </xf>
    <xf numFmtId="0" fontId="1" fillId="0" borderId="37" xfId="0" applyFont="1" applyFill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0" xfId="0" applyFont="1" applyAlignment="1">
      <alignment horizontal="left"/>
    </xf>
    <xf numFmtId="10" fontId="5" fillId="0" borderId="13" xfId="0" applyNumberFormat="1" applyFont="1" applyBorder="1" applyAlignment="1"/>
    <xf numFmtId="10" fontId="4" fillId="0" borderId="15" xfId="0" applyNumberFormat="1" applyFont="1" applyBorder="1" applyAlignment="1"/>
    <xf numFmtId="0" fontId="9" fillId="3" borderId="11" xfId="0" applyFont="1" applyFill="1" applyBorder="1"/>
    <xf numFmtId="0" fontId="0" fillId="0" borderId="4" xfId="0" applyFont="1" applyBorder="1" applyAlignment="1"/>
    <xf numFmtId="0" fontId="0" fillId="0" borderId="58" xfId="0" applyFont="1" applyBorder="1" applyAlignment="1"/>
    <xf numFmtId="0" fontId="0" fillId="0" borderId="60" xfId="0" applyFont="1" applyBorder="1" applyAlignment="1"/>
    <xf numFmtId="0" fontId="0" fillId="0" borderId="51" xfId="0" applyFont="1" applyBorder="1" applyAlignment="1"/>
    <xf numFmtId="0" fontId="0" fillId="0" borderId="0" xfId="0" applyFont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51" xfId="0" applyFont="1" applyBorder="1" applyAlignment="1">
      <alignment horizontal="right"/>
    </xf>
    <xf numFmtId="0" fontId="0" fillId="6" borderId="24" xfId="0" applyFont="1" applyFill="1" applyBorder="1" applyAlignment="1"/>
    <xf numFmtId="0" fontId="0" fillId="6" borderId="22" xfId="0" applyFont="1" applyFill="1" applyBorder="1" applyAlignment="1"/>
    <xf numFmtId="0" fontId="2" fillId="6" borderId="22" xfId="0" applyFont="1" applyFill="1" applyBorder="1" applyAlignment="1"/>
    <xf numFmtId="0" fontId="15" fillId="7" borderId="55" xfId="0" applyFont="1" applyFill="1" applyBorder="1" applyAlignment="1">
      <alignment vertical="top" wrapText="1"/>
    </xf>
    <xf numFmtId="0" fontId="17" fillId="0" borderId="0" xfId="0" applyFont="1" applyAlignment="1">
      <alignment vertical="top"/>
    </xf>
    <xf numFmtId="0" fontId="0" fillId="0" borderId="27" xfId="0" applyFont="1" applyBorder="1" applyAlignment="1">
      <alignment horizontal="right"/>
    </xf>
    <xf numFmtId="0" fontId="0" fillId="0" borderId="52" xfId="0" applyFont="1" applyBorder="1" applyAlignment="1">
      <alignment horizontal="right"/>
    </xf>
    <xf numFmtId="165" fontId="0" fillId="0" borderId="0" xfId="0" applyNumberFormat="1" applyFont="1" applyAlignment="1">
      <alignment horizontal="right"/>
    </xf>
    <xf numFmtId="165" fontId="15" fillId="7" borderId="62" xfId="0" applyNumberFormat="1" applyFont="1" applyFill="1" applyBorder="1" applyAlignment="1">
      <alignment horizontal="right" vertical="top" wrapText="1"/>
    </xf>
    <xf numFmtId="1" fontId="0" fillId="0" borderId="0" xfId="0" applyNumberFormat="1" applyFont="1" applyAlignment="1"/>
    <xf numFmtId="1" fontId="0" fillId="0" borderId="4" xfId="0" applyNumberFormat="1" applyFont="1" applyBorder="1" applyAlignment="1"/>
    <xf numFmtId="165" fontId="0" fillId="0" borderId="59" xfId="0" applyNumberFormat="1" applyFont="1" applyBorder="1" applyAlignment="1">
      <alignment horizontal="right"/>
    </xf>
    <xf numFmtId="165" fontId="0" fillId="0" borderId="61" xfId="0" applyNumberFormat="1" applyFont="1" applyBorder="1" applyAlignment="1">
      <alignment horizontal="right"/>
    </xf>
    <xf numFmtId="0" fontId="0" fillId="6" borderId="58" xfId="0" applyFont="1" applyFill="1" applyBorder="1" applyAlignment="1"/>
    <xf numFmtId="0" fontId="0" fillId="6" borderId="4" xfId="0" applyFont="1" applyFill="1" applyBorder="1" applyAlignment="1">
      <alignment horizontal="right"/>
    </xf>
    <xf numFmtId="0" fontId="0" fillId="6" borderId="4" xfId="0" applyFont="1" applyFill="1" applyBorder="1" applyAlignment="1"/>
    <xf numFmtId="0" fontId="0" fillId="6" borderId="27" xfId="0" applyFont="1" applyFill="1" applyBorder="1" applyAlignment="1">
      <alignment horizontal="right"/>
    </xf>
    <xf numFmtId="165" fontId="0" fillId="6" borderId="59" xfId="0" applyNumberFormat="1" applyFont="1" applyFill="1" applyBorder="1" applyAlignment="1">
      <alignment horizontal="right"/>
    </xf>
    <xf numFmtId="0" fontId="0" fillId="6" borderId="60" xfId="0" applyFont="1" applyFill="1" applyBorder="1" applyAlignment="1"/>
    <xf numFmtId="0" fontId="0" fillId="0" borderId="59" xfId="0" applyFont="1" applyBorder="1" applyAlignment="1"/>
    <xf numFmtId="1" fontId="0" fillId="0" borderId="51" xfId="0" applyNumberFormat="1" applyFont="1" applyBorder="1" applyAlignment="1"/>
    <xf numFmtId="0" fontId="0" fillId="0" borderId="61" xfId="0" applyFont="1" applyBorder="1" applyAlignment="1"/>
    <xf numFmtId="0" fontId="0" fillId="0" borderId="0" xfId="0" applyFont="1" applyFill="1" applyBorder="1" applyAlignment="1"/>
    <xf numFmtId="0" fontId="0" fillId="0" borderId="64" xfId="0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0" xfId="0" applyFont="1" applyFill="1" applyAlignment="1">
      <alignment vertical="top"/>
    </xf>
    <xf numFmtId="1" fontId="0" fillId="0" borderId="2" xfId="0" applyNumberFormat="1" applyFont="1" applyFill="1" applyBorder="1" applyAlignment="1">
      <alignment vertical="top" wrapText="1"/>
    </xf>
    <xf numFmtId="0" fontId="0" fillId="0" borderId="65" xfId="0" applyFont="1" applyFill="1" applyBorder="1" applyAlignment="1">
      <alignment vertical="top" wrapText="1"/>
    </xf>
    <xf numFmtId="0" fontId="0" fillId="0" borderId="4" xfId="0" applyFont="1" applyFill="1" applyBorder="1" applyAlignment="1">
      <alignment vertical="top" wrapText="1"/>
    </xf>
    <xf numFmtId="0" fontId="0" fillId="0" borderId="4" xfId="0" applyFont="1" applyFill="1" applyBorder="1" applyAlignment="1">
      <alignment horizontal="right" vertical="top" wrapText="1"/>
    </xf>
    <xf numFmtId="0" fontId="0" fillId="6" borderId="66" xfId="0" applyFont="1" applyFill="1" applyBorder="1" applyAlignment="1">
      <alignment vertical="top" wrapText="1"/>
    </xf>
    <xf numFmtId="0" fontId="15" fillId="7" borderId="67" xfId="0" applyFont="1" applyFill="1" applyBorder="1" applyAlignment="1">
      <alignment vertical="top" wrapText="1"/>
    </xf>
    <xf numFmtId="0" fontId="15" fillId="7" borderId="68" xfId="0" applyFont="1" applyFill="1" applyBorder="1" applyAlignment="1">
      <alignment horizontal="right" vertical="top" wrapText="1"/>
    </xf>
    <xf numFmtId="0" fontId="15" fillId="7" borderId="68" xfId="0" applyFont="1" applyFill="1" applyBorder="1" applyAlignment="1">
      <alignment vertical="top" wrapText="1"/>
    </xf>
    <xf numFmtId="0" fontId="15" fillId="7" borderId="69" xfId="0" applyFont="1" applyFill="1" applyBorder="1" applyAlignment="1">
      <alignment horizontal="right" vertical="top" wrapText="1"/>
    </xf>
    <xf numFmtId="0" fontId="0" fillId="6" borderId="7" xfId="0" applyFont="1" applyFill="1" applyBorder="1" applyAlignment="1"/>
    <xf numFmtId="0" fontId="0" fillId="6" borderId="2" xfId="0" applyFont="1" applyFill="1" applyBorder="1" applyAlignment="1">
      <alignment horizontal="right"/>
    </xf>
    <xf numFmtId="0" fontId="0" fillId="6" borderId="2" xfId="0" applyFont="1" applyFill="1" applyBorder="1" applyAlignment="1"/>
    <xf numFmtId="0" fontId="0" fillId="6" borderId="25" xfId="0" applyFont="1" applyFill="1" applyBorder="1" applyAlignment="1">
      <alignment horizontal="right"/>
    </xf>
    <xf numFmtId="165" fontId="0" fillId="6" borderId="65" xfId="0" applyNumberFormat="1" applyFont="1" applyFill="1" applyBorder="1" applyAlignment="1">
      <alignment horizontal="right"/>
    </xf>
    <xf numFmtId="0" fontId="0" fillId="0" borderId="59" xfId="0" applyFont="1" applyFill="1" applyBorder="1" applyAlignment="1">
      <alignment horizontal="right" vertical="top" wrapText="1"/>
    </xf>
    <xf numFmtId="0" fontId="0" fillId="0" borderId="51" xfId="0" applyFont="1" applyFill="1" applyBorder="1" applyAlignment="1"/>
    <xf numFmtId="0" fontId="1" fillId="0" borderId="27" xfId="0" applyFont="1" applyFill="1" applyBorder="1" applyAlignment="1">
      <alignment horizontal="center"/>
    </xf>
    <xf numFmtId="166" fontId="0" fillId="0" borderId="4" xfId="0" applyNumberFormat="1" applyFont="1" applyBorder="1" applyAlignment="1"/>
    <xf numFmtId="166" fontId="0" fillId="0" borderId="0" xfId="0" applyNumberFormat="1" applyFont="1" applyAlignment="1"/>
    <xf numFmtId="166" fontId="15" fillId="7" borderId="68" xfId="0" applyNumberFormat="1" applyFont="1" applyFill="1" applyBorder="1" applyAlignment="1">
      <alignment vertical="top" wrapText="1"/>
    </xf>
    <xf numFmtId="166" fontId="0" fillId="0" borderId="4" xfId="0" applyNumberFormat="1" applyFont="1" applyFill="1" applyBorder="1" applyAlignment="1">
      <alignment horizontal="right" vertical="top" wrapText="1"/>
    </xf>
    <xf numFmtId="166" fontId="0" fillId="6" borderId="2" xfId="0" applyNumberFormat="1" applyFont="1" applyFill="1" applyBorder="1" applyAlignment="1"/>
    <xf numFmtId="166" fontId="0" fillId="6" borderId="4" xfId="0" applyNumberFormat="1" applyFont="1" applyFill="1" applyBorder="1" applyAlignment="1"/>
    <xf numFmtId="166" fontId="0" fillId="0" borderId="51" xfId="0" applyNumberFormat="1" applyFont="1" applyBorder="1" applyAlignment="1"/>
    <xf numFmtId="1" fontId="0" fillId="0" borderId="25" xfId="0" applyNumberFormat="1" applyFont="1" applyFill="1" applyBorder="1" applyAlignment="1">
      <alignment vertical="top" wrapText="1"/>
    </xf>
    <xf numFmtId="1" fontId="0" fillId="0" borderId="27" xfId="0" applyNumberFormat="1" applyFont="1" applyBorder="1" applyAlignment="1"/>
    <xf numFmtId="1" fontId="0" fillId="0" borderId="52" xfId="0" applyNumberFormat="1" applyFont="1" applyBorder="1" applyAlignment="1"/>
    <xf numFmtId="0" fontId="0" fillId="0" borderId="7" xfId="0" applyFont="1" applyFill="1" applyBorder="1" applyAlignment="1"/>
    <xf numFmtId="0" fontId="0" fillId="0" borderId="71" xfId="0" applyFont="1" applyFill="1" applyBorder="1" applyAlignment="1"/>
    <xf numFmtId="0" fontId="15" fillId="7" borderId="62" xfId="0" applyFont="1" applyFill="1" applyBorder="1" applyAlignment="1">
      <alignment horizontal="right" vertical="top" wrapText="1"/>
    </xf>
    <xf numFmtId="169" fontId="0" fillId="0" borderId="27" xfId="0" applyNumberFormat="1" applyFont="1" applyFill="1" applyBorder="1" applyAlignment="1">
      <alignment horizontal="right" vertical="top" wrapText="1"/>
    </xf>
    <xf numFmtId="169" fontId="0" fillId="6" borderId="25" xfId="0" applyNumberFormat="1" applyFont="1" applyFill="1" applyBorder="1" applyAlignment="1">
      <alignment horizontal="right"/>
    </xf>
    <xf numFmtId="169" fontId="0" fillId="0" borderId="27" xfId="0" applyNumberFormat="1" applyFont="1" applyBorder="1" applyAlignment="1">
      <alignment horizontal="right"/>
    </xf>
    <xf numFmtId="169" fontId="0" fillId="0" borderId="52" xfId="0" applyNumberFormat="1" applyFont="1" applyBorder="1" applyAlignment="1">
      <alignment horizontal="right"/>
    </xf>
    <xf numFmtId="0" fontId="0" fillId="0" borderId="2" xfId="0" applyFont="1" applyFill="1" applyBorder="1" applyAlignment="1"/>
    <xf numFmtId="1" fontId="0" fillId="0" borderId="59" xfId="0" applyNumberFormat="1" applyFont="1" applyBorder="1" applyAlignment="1"/>
    <xf numFmtId="1" fontId="0" fillId="0" borderId="61" xfId="0" applyNumberFormat="1" applyFont="1" applyBorder="1" applyAlignment="1"/>
    <xf numFmtId="169" fontId="0" fillId="6" borderId="27" xfId="0" applyNumberFormat="1" applyFont="1" applyFill="1" applyBorder="1" applyAlignment="1">
      <alignment horizontal="right"/>
    </xf>
    <xf numFmtId="166" fontId="0" fillId="0" borderId="27" xfId="0" applyNumberFormat="1" applyFont="1" applyBorder="1" applyAlignment="1"/>
    <xf numFmtId="166" fontId="0" fillId="0" borderId="73" xfId="0" applyNumberFormat="1" applyFont="1" applyBorder="1" applyAlignment="1"/>
    <xf numFmtId="166" fontId="0" fillId="0" borderId="25" xfId="0" applyNumberFormat="1" applyFont="1" applyBorder="1" applyAlignment="1"/>
    <xf numFmtId="0" fontId="15" fillId="7" borderId="68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 wrapText="1"/>
    </xf>
    <xf numFmtId="0" fontId="0" fillId="6" borderId="2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0" fillId="0" borderId="2" xfId="0" applyFont="1" applyFill="1" applyBorder="1" applyAlignment="1">
      <alignment horizontal="right"/>
    </xf>
    <xf numFmtId="0" fontId="18" fillId="7" borderId="42" xfId="0" applyFont="1" applyFill="1" applyBorder="1" applyAlignment="1">
      <alignment vertical="top" wrapText="1"/>
    </xf>
    <xf numFmtId="0" fontId="18" fillId="7" borderId="43" xfId="0" applyFont="1" applyFill="1" applyBorder="1" applyAlignment="1">
      <alignment horizontal="right" vertical="top" wrapText="1"/>
    </xf>
    <xf numFmtId="0" fontId="0" fillId="6" borderId="74" xfId="0" applyFont="1" applyFill="1" applyBorder="1" applyAlignment="1">
      <alignment horizontal="right"/>
    </xf>
    <xf numFmtId="0" fontId="0" fillId="0" borderId="74" xfId="0" applyFont="1" applyBorder="1" applyAlignment="1">
      <alignment horizontal="right"/>
    </xf>
    <xf numFmtId="0" fontId="0" fillId="0" borderId="75" xfId="0" applyFont="1" applyBorder="1" applyAlignment="1">
      <alignment horizontal="right"/>
    </xf>
    <xf numFmtId="0" fontId="0" fillId="0" borderId="76" xfId="0" applyFont="1" applyBorder="1" applyAlignment="1">
      <alignment horizontal="right"/>
    </xf>
    <xf numFmtId="0" fontId="0" fillId="0" borderId="77" xfId="0" applyFont="1" applyBorder="1" applyAlignment="1"/>
    <xf numFmtId="0" fontId="0" fillId="6" borderId="77" xfId="0" applyFont="1" applyFill="1" applyBorder="1" applyAlignment="1"/>
    <xf numFmtId="0" fontId="0" fillId="0" borderId="78" xfId="0" applyFont="1" applyBorder="1" applyAlignment="1"/>
    <xf numFmtId="0" fontId="0" fillId="0" borderId="79" xfId="0" applyFont="1" applyBorder="1" applyAlignment="1"/>
    <xf numFmtId="0" fontId="0" fillId="0" borderId="72" xfId="0" applyFont="1" applyFill="1" applyBorder="1" applyAlignment="1">
      <alignment horizontal="right"/>
    </xf>
    <xf numFmtId="165" fontId="7" fillId="0" borderId="24" xfId="0" applyNumberFormat="1" applyFont="1" applyBorder="1"/>
    <xf numFmtId="166" fontId="7" fillId="0" borderId="2" xfId="0" applyNumberFormat="1" applyFont="1" applyBorder="1"/>
    <xf numFmtId="2" fontId="0" fillId="0" borderId="0" xfId="0" applyNumberFormat="1" applyFont="1" applyAlignment="1"/>
    <xf numFmtId="0" fontId="0" fillId="0" borderId="27" xfId="0" applyFont="1" applyBorder="1" applyAlignment="1"/>
    <xf numFmtId="168" fontId="7" fillId="0" borderId="0" xfId="0" applyNumberFormat="1" applyFont="1"/>
    <xf numFmtId="168" fontId="9" fillId="0" borderId="0" xfId="0" applyNumberFormat="1" applyFont="1" applyFill="1" applyBorder="1" applyAlignment="1"/>
    <xf numFmtId="168" fontId="9" fillId="2" borderId="1" xfId="0" applyNumberFormat="1" applyFont="1" applyFill="1" applyBorder="1" applyAlignment="1">
      <alignment horizontal="center" vertical="center" wrapText="1"/>
    </xf>
    <xf numFmtId="168" fontId="8" fillId="0" borderId="0" xfId="0" applyNumberFormat="1" applyFont="1" applyAlignment="1"/>
    <xf numFmtId="168" fontId="7" fillId="0" borderId="0" xfId="0" applyNumberFormat="1" applyFont="1" applyFill="1" applyBorder="1" applyAlignment="1"/>
    <xf numFmtId="168" fontId="7" fillId="0" borderId="2" xfId="0" applyNumberFormat="1" applyFont="1" applyBorder="1" applyAlignment="1">
      <alignment horizontal="right"/>
    </xf>
    <xf numFmtId="0" fontId="0" fillId="0" borderId="33" xfId="0" applyFont="1" applyBorder="1" applyAlignment="1">
      <alignment horizontal="left"/>
    </xf>
    <xf numFmtId="0" fontId="1" fillId="0" borderId="80" xfId="0" applyFont="1" applyBorder="1" applyAlignment="1">
      <alignment horizontal="left"/>
    </xf>
    <xf numFmtId="0" fontId="15" fillId="7" borderId="0" xfId="0" applyFont="1" applyFill="1" applyAlignment="1">
      <alignment horizontal="center" vertical="top" wrapText="1"/>
    </xf>
    <xf numFmtId="166" fontId="15" fillId="7" borderId="0" xfId="0" applyNumberFormat="1" applyFont="1" applyFill="1" applyAlignment="1">
      <alignment horizontal="center" vertical="top" wrapText="1"/>
    </xf>
    <xf numFmtId="2" fontId="15" fillId="7" borderId="0" xfId="0" applyNumberFormat="1" applyFont="1" applyFill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2" fillId="0" borderId="0" xfId="0" applyFont="1" applyFill="1" applyBorder="1" applyAlignment="1">
      <alignment horizontal="right"/>
    </xf>
    <xf numFmtId="0" fontId="0" fillId="0" borderId="74" xfId="0" applyFont="1" applyFill="1" applyBorder="1" applyAlignment="1">
      <alignment horizontal="right"/>
    </xf>
    <xf numFmtId="0" fontId="0" fillId="0" borderId="77" xfId="0" applyFont="1" applyFill="1" applyBorder="1" applyAlignment="1"/>
    <xf numFmtId="0" fontId="0" fillId="0" borderId="77" xfId="0" applyFont="1" applyFill="1" applyBorder="1" applyAlignment="1">
      <alignment horizontal="right"/>
    </xf>
    <xf numFmtId="0" fontId="2" fillId="0" borderId="45" xfId="0" applyFont="1" applyFill="1" applyBorder="1" applyAlignment="1">
      <alignment horizontal="left" indent="2"/>
    </xf>
    <xf numFmtId="168" fontId="2" fillId="0" borderId="46" xfId="0" applyNumberFormat="1" applyFont="1" applyFill="1" applyBorder="1" applyAlignment="1">
      <alignment horizontal="left" indent="2"/>
    </xf>
    <xf numFmtId="0" fontId="8" fillId="0" borderId="0" xfId="0" applyFont="1" applyBorder="1" applyAlignment="1"/>
    <xf numFmtId="0" fontId="7" fillId="2" borderId="84" xfId="0" applyNumberFormat="1" applyFont="1" applyFill="1" applyBorder="1"/>
    <xf numFmtId="164" fontId="7" fillId="0" borderId="85" xfId="0" applyNumberFormat="1" applyFont="1" applyFill="1" applyBorder="1"/>
    <xf numFmtId="165" fontId="7" fillId="0" borderId="86" xfId="0" applyNumberFormat="1" applyFont="1" applyBorder="1"/>
    <xf numFmtId="164" fontId="7" fillId="0" borderId="87" xfId="0" applyNumberFormat="1" applyFont="1" applyFill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7" fillId="0" borderId="30" xfId="0" applyFont="1" applyBorder="1"/>
    <xf numFmtId="0" fontId="7" fillId="0" borderId="30" xfId="0" applyFont="1" applyBorder="1" applyAlignment="1">
      <alignment horizontal="right"/>
    </xf>
    <xf numFmtId="168" fontId="7" fillId="0" borderId="30" xfId="0" applyNumberFormat="1" applyFont="1" applyBorder="1"/>
    <xf numFmtId="0" fontId="7" fillId="0" borderId="74" xfId="0" applyFont="1" applyBorder="1"/>
    <xf numFmtId="0" fontId="7" fillId="0" borderId="87" xfId="0" applyFont="1" applyFill="1" applyBorder="1" applyAlignment="1">
      <alignment horizontal="center"/>
    </xf>
    <xf numFmtId="167" fontId="7" fillId="0" borderId="87" xfId="1" applyNumberFormat="1" applyFont="1" applyFill="1" applyBorder="1"/>
    <xf numFmtId="0" fontId="7" fillId="0" borderId="87" xfId="0" applyFont="1" applyFill="1" applyBorder="1"/>
    <xf numFmtId="0" fontId="7" fillId="0" borderId="88" xfId="0" applyFont="1" applyBorder="1" applyAlignment="1">
      <alignment horizontal="center"/>
    </xf>
    <xf numFmtId="0" fontId="7" fillId="0" borderId="89" xfId="0" applyFont="1" applyBorder="1"/>
    <xf numFmtId="0" fontId="13" fillId="5" borderId="86" xfId="0" applyFont="1" applyFill="1" applyBorder="1" applyAlignment="1">
      <alignment wrapText="1"/>
    </xf>
    <xf numFmtId="165" fontId="7" fillId="0" borderId="4" xfId="0" applyNumberFormat="1" applyFont="1" applyBorder="1"/>
    <xf numFmtId="164" fontId="7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right"/>
    </xf>
    <xf numFmtId="167" fontId="7" fillId="0" borderId="4" xfId="1" applyNumberFormat="1" applyFont="1" applyFill="1" applyBorder="1"/>
    <xf numFmtId="0" fontId="7" fillId="0" borderId="4" xfId="0" applyFont="1" applyFill="1" applyBorder="1"/>
    <xf numFmtId="164" fontId="7" fillId="0" borderId="90" xfId="0" applyNumberFormat="1" applyFont="1" applyFill="1" applyBorder="1"/>
    <xf numFmtId="0" fontId="7" fillId="2" borderId="91" xfId="0" applyNumberFormat="1" applyFont="1" applyFill="1" applyBorder="1"/>
    <xf numFmtId="0" fontId="15" fillId="7" borderId="92" xfId="0" applyFont="1" applyFill="1" applyBorder="1" applyAlignment="1">
      <alignment horizontal="right" vertical="top" wrapText="1"/>
    </xf>
    <xf numFmtId="0" fontId="15" fillId="7" borderId="93" xfId="0" applyFont="1" applyFill="1" applyBorder="1" applyAlignment="1">
      <alignment horizontal="right" vertical="top"/>
    </xf>
    <xf numFmtId="165" fontId="15" fillId="7" borderId="43" xfId="0" applyNumberFormat="1" applyFont="1" applyFill="1" applyBorder="1" applyAlignment="1">
      <alignment horizontal="right" vertical="top" wrapText="1"/>
    </xf>
    <xf numFmtId="0" fontId="0" fillId="0" borderId="27" xfId="0" applyFont="1" applyFill="1" applyBorder="1" applyAlignment="1">
      <alignment horizontal="right" vertical="top" wrapText="1"/>
    </xf>
    <xf numFmtId="165" fontId="0" fillId="6" borderId="25" xfId="0" applyNumberFormat="1" applyFont="1" applyFill="1" applyBorder="1" applyAlignment="1">
      <alignment horizontal="right"/>
    </xf>
    <xf numFmtId="165" fontId="0" fillId="0" borderId="27" xfId="0" applyNumberFormat="1" applyFont="1" applyBorder="1" applyAlignment="1">
      <alignment horizontal="right"/>
    </xf>
    <xf numFmtId="165" fontId="0" fillId="0" borderId="52" xfId="0" applyNumberFormat="1" applyFont="1" applyBorder="1" applyAlignment="1">
      <alignment horizontal="right"/>
    </xf>
    <xf numFmtId="0" fontId="15" fillId="7" borderId="57" xfId="0" applyFont="1" applyFill="1" applyBorder="1" applyAlignment="1">
      <alignment vertical="top"/>
    </xf>
    <xf numFmtId="0" fontId="0" fillId="0" borderId="59" xfId="0" applyFont="1" applyFill="1" applyBorder="1" applyAlignment="1">
      <alignment vertical="top"/>
    </xf>
    <xf numFmtId="2" fontId="0" fillId="0" borderId="27" xfId="0" applyNumberFormat="1" applyFont="1" applyBorder="1" applyAlignment="1"/>
    <xf numFmtId="0" fontId="15" fillId="7" borderId="0" xfId="0" applyFont="1" applyFill="1" applyAlignment="1">
      <alignment horizontal="left" vertical="top" wrapText="1"/>
    </xf>
    <xf numFmtId="170" fontId="7" fillId="0" borderId="2" xfId="0" applyNumberFormat="1" applyFont="1" applyBorder="1" applyAlignment="1">
      <alignment horizontal="right"/>
    </xf>
    <xf numFmtId="0" fontId="0" fillId="6" borderId="59" xfId="0" applyFont="1" applyFill="1" applyBorder="1" applyAlignment="1"/>
    <xf numFmtId="0" fontId="0" fillId="0" borderId="30" xfId="0" applyFont="1" applyFill="1" applyBorder="1" applyAlignment="1"/>
    <xf numFmtId="0" fontId="0" fillId="0" borderId="94" xfId="0" applyFont="1" applyFill="1" applyBorder="1" applyAlignment="1"/>
    <xf numFmtId="0" fontId="0" fillId="0" borderId="87" xfId="0" applyFont="1" applyFill="1" applyBorder="1" applyAlignment="1"/>
    <xf numFmtId="168" fontId="9" fillId="3" borderId="97" xfId="0" applyNumberFormat="1" applyFont="1" applyFill="1" applyBorder="1" applyAlignment="1"/>
    <xf numFmtId="1" fontId="7" fillId="0" borderId="7" xfId="1" applyNumberFormat="1" applyFont="1" applyFill="1" applyBorder="1" applyAlignment="1">
      <alignment horizontal="center"/>
    </xf>
    <xf numFmtId="0" fontId="7" fillId="0" borderId="9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9" fillId="2" borderId="100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center"/>
    </xf>
    <xf numFmtId="166" fontId="7" fillId="0" borderId="0" xfId="0" applyNumberFormat="1" applyFont="1"/>
    <xf numFmtId="166" fontId="9" fillId="2" borderId="1" xfId="0" applyNumberFormat="1" applyFont="1" applyFill="1" applyBorder="1" applyAlignment="1">
      <alignment horizontal="center" vertical="center" wrapText="1"/>
    </xf>
    <xf numFmtId="166" fontId="7" fillId="0" borderId="87" xfId="0" applyNumberFormat="1" applyFont="1" applyFill="1" applyBorder="1"/>
    <xf numFmtId="166" fontId="7" fillId="0" borderId="4" xfId="0" applyNumberFormat="1" applyFont="1" applyBorder="1"/>
    <xf numFmtId="166" fontId="8" fillId="0" borderId="0" xfId="0" applyNumberFormat="1" applyFont="1" applyAlignment="1"/>
    <xf numFmtId="166" fontId="9" fillId="2" borderId="5" xfId="0" applyNumberFormat="1" applyFont="1" applyFill="1" applyBorder="1" applyAlignment="1">
      <alignment horizontal="center" vertical="center" wrapText="1"/>
    </xf>
    <xf numFmtId="166" fontId="7" fillId="0" borderId="4" xfId="0" applyNumberFormat="1" applyFont="1" applyFill="1" applyBorder="1"/>
    <xf numFmtId="2" fontId="9" fillId="2" borderId="5" xfId="1" applyNumberFormat="1" applyFont="1" applyFill="1" applyBorder="1" applyAlignment="1">
      <alignment horizontal="center" vertical="center" wrapText="1"/>
    </xf>
    <xf numFmtId="166" fontId="9" fillId="2" borderId="5" xfId="1" applyNumberFormat="1" applyFont="1" applyFill="1" applyBorder="1" applyAlignment="1">
      <alignment horizontal="center" vertical="center" wrapText="1"/>
    </xf>
    <xf numFmtId="166" fontId="7" fillId="0" borderId="0" xfId="1" applyNumberFormat="1" applyFont="1" applyAlignment="1">
      <alignment horizontal="center"/>
    </xf>
    <xf numFmtId="166" fontId="7" fillId="0" borderId="7" xfId="1" applyNumberFormat="1" applyFont="1" applyFill="1" applyBorder="1" applyAlignment="1">
      <alignment horizontal="center"/>
    </xf>
    <xf numFmtId="166" fontId="8" fillId="0" borderId="0" xfId="1" applyNumberFormat="1" applyFont="1" applyAlignment="1">
      <alignment horizontal="center"/>
    </xf>
    <xf numFmtId="2" fontId="7" fillId="0" borderId="0" xfId="1" applyNumberFormat="1" applyFont="1" applyAlignment="1">
      <alignment horizontal="center"/>
    </xf>
    <xf numFmtId="2" fontId="7" fillId="0" borderId="7" xfId="1" applyNumberFormat="1" applyFont="1" applyFill="1" applyBorder="1" applyAlignment="1">
      <alignment horizontal="center"/>
    </xf>
    <xf numFmtId="2" fontId="8" fillId="0" borderId="0" xfId="1" applyNumberFormat="1" applyFont="1" applyAlignment="1">
      <alignment horizontal="center"/>
    </xf>
    <xf numFmtId="167" fontId="7" fillId="0" borderId="0" xfId="1" applyNumberFormat="1" applyFont="1" applyAlignment="1">
      <alignment horizontal="right"/>
    </xf>
    <xf numFmtId="167" fontId="7" fillId="0" borderId="0" xfId="1" applyNumberFormat="1" applyFont="1" applyFill="1" applyBorder="1" applyAlignment="1">
      <alignment horizontal="right"/>
    </xf>
    <xf numFmtId="167" fontId="7" fillId="0" borderId="7" xfId="1" applyNumberFormat="1" applyFont="1" applyFill="1" applyBorder="1" applyAlignment="1">
      <alignment horizontal="right"/>
    </xf>
    <xf numFmtId="167" fontId="7" fillId="0" borderId="87" xfId="1" applyNumberFormat="1" applyFont="1" applyFill="1" applyBorder="1" applyAlignment="1">
      <alignment horizontal="right"/>
    </xf>
    <xf numFmtId="167" fontId="7" fillId="0" borderId="4" xfId="1" applyNumberFormat="1" applyFont="1" applyFill="1" applyBorder="1" applyAlignment="1">
      <alignment horizontal="right"/>
    </xf>
    <xf numFmtId="167" fontId="8" fillId="0" borderId="0" xfId="1" applyNumberFormat="1" applyFont="1" applyAlignment="1">
      <alignment horizontal="right"/>
    </xf>
    <xf numFmtId="173" fontId="7" fillId="0" borderId="0" xfId="0" applyNumberFormat="1" applyFont="1" applyAlignment="1">
      <alignment horizontal="center"/>
    </xf>
    <xf numFmtId="173" fontId="9" fillId="2" borderId="5" xfId="0" applyNumberFormat="1" applyFont="1" applyFill="1" applyBorder="1" applyAlignment="1">
      <alignment horizontal="center" vertical="center" wrapText="1"/>
    </xf>
    <xf numFmtId="173" fontId="7" fillId="0" borderId="7" xfId="0" applyNumberFormat="1" applyFont="1" applyFill="1" applyBorder="1" applyAlignment="1">
      <alignment horizontal="center"/>
    </xf>
    <xf numFmtId="173" fontId="7" fillId="0" borderId="87" xfId="0" applyNumberFormat="1" applyFont="1" applyFill="1" applyBorder="1" applyAlignment="1">
      <alignment horizontal="center"/>
    </xf>
    <xf numFmtId="173" fontId="7" fillId="0" borderId="4" xfId="0" applyNumberFormat="1" applyFont="1" applyFill="1" applyBorder="1" applyAlignment="1">
      <alignment horizontal="center"/>
    </xf>
    <xf numFmtId="173" fontId="7" fillId="0" borderId="7" xfId="0" applyNumberFormat="1" applyFont="1" applyBorder="1" applyAlignment="1">
      <alignment horizontal="center"/>
    </xf>
    <xf numFmtId="173" fontId="8" fillId="0" borderId="0" xfId="0" applyNumberFormat="1" applyFont="1" applyAlignment="1">
      <alignment horizontal="center"/>
    </xf>
    <xf numFmtId="0" fontId="19" fillId="7" borderId="4" xfId="0" applyFont="1" applyFill="1" applyBorder="1" applyAlignment="1"/>
    <xf numFmtId="0" fontId="19" fillId="7" borderId="27" xfId="0" applyFont="1" applyFill="1" applyBorder="1" applyAlignment="1"/>
    <xf numFmtId="0" fontId="20" fillId="9" borderId="22" xfId="0" applyFont="1" applyFill="1" applyBorder="1" applyAlignment="1"/>
    <xf numFmtId="0" fontId="8" fillId="6" borderId="27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6" borderId="114" xfId="0" applyFont="1" applyFill="1" applyBorder="1" applyAlignment="1"/>
    <xf numFmtId="2" fontId="22" fillId="6" borderId="106" xfId="0" applyNumberFormat="1" applyFont="1" applyFill="1" applyBorder="1" applyAlignment="1">
      <alignment horizontal="center"/>
    </xf>
    <xf numFmtId="2" fontId="22" fillId="6" borderId="107" xfId="0" applyNumberFormat="1" applyFont="1" applyFill="1" applyBorder="1" applyAlignment="1">
      <alignment horizontal="center"/>
    </xf>
    <xf numFmtId="2" fontId="22" fillId="6" borderId="114" xfId="0" applyNumberFormat="1" applyFont="1" applyFill="1" applyBorder="1" applyAlignment="1">
      <alignment horizontal="center"/>
    </xf>
    <xf numFmtId="2" fontId="22" fillId="6" borderId="108" xfId="0" applyNumberFormat="1" applyFont="1" applyFill="1" applyBorder="1" applyAlignment="1">
      <alignment horizontal="center"/>
    </xf>
    <xf numFmtId="2" fontId="22" fillId="6" borderId="109" xfId="0" applyNumberFormat="1" applyFont="1" applyFill="1" applyBorder="1" applyAlignment="1">
      <alignment horizontal="center"/>
    </xf>
    <xf numFmtId="2" fontId="22" fillId="6" borderId="117" xfId="0" applyNumberFormat="1" applyFont="1" applyFill="1" applyBorder="1" applyAlignment="1">
      <alignment horizontal="center"/>
    </xf>
    <xf numFmtId="0" fontId="22" fillId="0" borderId="0" xfId="0" applyFont="1" applyAlignment="1"/>
    <xf numFmtId="0" fontId="8" fillId="6" borderId="25" xfId="0" applyFont="1" applyFill="1" applyBorder="1" applyAlignment="1"/>
    <xf numFmtId="2" fontId="8" fillId="0" borderId="111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25" xfId="0" applyNumberFormat="1" applyFont="1" applyBorder="1" applyAlignment="1">
      <alignment horizontal="center"/>
    </xf>
    <xf numFmtId="2" fontId="8" fillId="0" borderId="122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2" fontId="8" fillId="0" borderId="105" xfId="0" applyNumberFormat="1" applyFont="1" applyBorder="1" applyAlignment="1">
      <alignment horizontal="center"/>
    </xf>
    <xf numFmtId="2" fontId="8" fillId="0" borderId="64" xfId="0" applyNumberFormat="1" applyFont="1" applyBorder="1" applyAlignment="1">
      <alignment horizontal="center"/>
    </xf>
    <xf numFmtId="0" fontId="8" fillId="6" borderId="27" xfId="0" applyFont="1" applyFill="1" applyBorder="1" applyAlignment="1"/>
    <xf numFmtId="2" fontId="8" fillId="0" borderId="104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27" xfId="0" applyNumberFormat="1" applyFont="1" applyBorder="1" applyAlignment="1">
      <alignment horizontal="center"/>
    </xf>
    <xf numFmtId="2" fontId="8" fillId="0" borderId="90" xfId="0" applyNumberFormat="1" applyFont="1" applyBorder="1" applyAlignment="1">
      <alignment horizontal="center"/>
    </xf>
    <xf numFmtId="2" fontId="8" fillId="0" borderId="58" xfId="0" applyNumberFormat="1" applyFont="1" applyBorder="1" applyAlignment="1">
      <alignment horizontal="center"/>
    </xf>
    <xf numFmtId="2" fontId="8" fillId="0" borderId="22" xfId="0" applyNumberFormat="1" applyFont="1" applyBorder="1" applyAlignment="1">
      <alignment horizontal="center"/>
    </xf>
    <xf numFmtId="2" fontId="8" fillId="0" borderId="120" xfId="0" applyNumberFormat="1" applyFont="1" applyBorder="1" applyAlignment="1">
      <alignment horizontal="center"/>
    </xf>
    <xf numFmtId="0" fontId="8" fillId="6" borderId="113" xfId="0" applyFont="1" applyFill="1" applyBorder="1" applyAlignment="1"/>
    <xf numFmtId="2" fontId="8" fillId="0" borderId="115" xfId="0" applyNumberFormat="1" applyFont="1" applyBorder="1" applyAlignment="1">
      <alignment horizontal="center"/>
    </xf>
    <xf numFmtId="2" fontId="8" fillId="0" borderId="116" xfId="0" applyNumberFormat="1" applyFont="1" applyBorder="1" applyAlignment="1">
      <alignment horizontal="center"/>
    </xf>
    <xf numFmtId="2" fontId="8" fillId="0" borderId="101" xfId="0" applyNumberFormat="1" applyFont="1" applyBorder="1" applyAlignment="1">
      <alignment horizontal="center"/>
    </xf>
    <xf numFmtId="2" fontId="8" fillId="0" borderId="80" xfId="0" applyNumberFormat="1" applyFont="1" applyBorder="1" applyAlignment="1">
      <alignment horizontal="center"/>
    </xf>
    <xf numFmtId="2" fontId="8" fillId="0" borderId="33" xfId="0" applyNumberFormat="1" applyFont="1" applyBorder="1" applyAlignment="1">
      <alignment horizontal="center"/>
    </xf>
    <xf numFmtId="2" fontId="8" fillId="0" borderId="121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Border="1" applyAlignment="1">
      <alignment horizontal="center"/>
    </xf>
    <xf numFmtId="0" fontId="8" fillId="6" borderId="0" xfId="0" applyFont="1" applyFill="1" applyAlignment="1"/>
    <xf numFmtId="2" fontId="8" fillId="0" borderId="87" xfId="0" applyNumberFormat="1" applyFont="1" applyBorder="1" applyAlignment="1">
      <alignment horizontal="center"/>
    </xf>
    <xf numFmtId="166" fontId="8" fillId="0" borderId="2" xfId="0" applyNumberFormat="1" applyFont="1" applyBorder="1" applyAlignment="1">
      <alignment horizontal="center"/>
    </xf>
    <xf numFmtId="166" fontId="8" fillId="0" borderId="104" xfId="0" applyNumberFormat="1" applyFont="1" applyBorder="1" applyAlignment="1">
      <alignment horizontal="center"/>
    </xf>
    <xf numFmtId="166" fontId="8" fillId="0" borderId="4" xfId="0" applyNumberFormat="1" applyFont="1" applyBorder="1" applyAlignment="1">
      <alignment horizontal="center"/>
    </xf>
    <xf numFmtId="166" fontId="8" fillId="0" borderId="58" xfId="0" applyNumberFormat="1" applyFont="1" applyBorder="1" applyAlignment="1">
      <alignment horizontal="center"/>
    </xf>
    <xf numFmtId="166" fontId="8" fillId="0" borderId="0" xfId="0" applyNumberFormat="1" applyFon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2" xfId="0" applyBorder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24" xfId="0" applyBorder="1"/>
    <xf numFmtId="2" fontId="0" fillId="0" borderId="24" xfId="0" applyNumberFormat="1" applyBorder="1"/>
    <xf numFmtId="2" fontId="0" fillId="0" borderId="22" xfId="0" applyNumberFormat="1" applyBorder="1"/>
    <xf numFmtId="2" fontId="0" fillId="0" borderId="0" xfId="0" applyNumberFormat="1"/>
    <xf numFmtId="168" fontId="0" fillId="0" borderId="24" xfId="0" applyNumberFormat="1" applyBorder="1"/>
    <xf numFmtId="168" fontId="0" fillId="0" borderId="22" xfId="0" applyNumberFormat="1" applyBorder="1"/>
    <xf numFmtId="168" fontId="0" fillId="0" borderId="0" xfId="0" applyNumberFormat="1"/>
    <xf numFmtId="168" fontId="0" fillId="0" borderId="0" xfId="0" applyNumberFormat="1" applyFont="1" applyAlignment="1"/>
    <xf numFmtId="168" fontId="0" fillId="0" borderId="24" xfId="0" applyNumberFormat="1" applyBorder="1" applyAlignment="1">
      <alignment horizontal="center"/>
    </xf>
    <xf numFmtId="168" fontId="0" fillId="0" borderId="22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ont="1" applyAlignment="1">
      <alignment horizontal="center"/>
    </xf>
    <xf numFmtId="170" fontId="0" fillId="0" borderId="24" xfId="0" applyNumberFormat="1" applyBorder="1"/>
    <xf numFmtId="170" fontId="0" fillId="0" borderId="22" xfId="0" applyNumberFormat="1" applyBorder="1"/>
    <xf numFmtId="170" fontId="0" fillId="0" borderId="0" xfId="0" applyNumberFormat="1"/>
    <xf numFmtId="170" fontId="0" fillId="0" borderId="0" xfId="0" applyNumberFormat="1" applyFont="1" applyAlignment="1"/>
    <xf numFmtId="166" fontId="0" fillId="0" borderId="24" xfId="0" applyNumberFormat="1" applyBorder="1"/>
    <xf numFmtId="166" fontId="0" fillId="0" borderId="22" xfId="0" applyNumberFormat="1" applyBorder="1"/>
    <xf numFmtId="166" fontId="0" fillId="0" borderId="0" xfId="0" applyNumberFormat="1"/>
    <xf numFmtId="0" fontId="0" fillId="0" borderId="118" xfId="0" applyBorder="1" applyAlignment="1">
      <alignment horizontal="left"/>
    </xf>
    <xf numFmtId="0" fontId="0" fillId="0" borderId="118" xfId="0" applyBorder="1" applyAlignment="1">
      <alignment horizontal="center"/>
    </xf>
    <xf numFmtId="0" fontId="0" fillId="0" borderId="118" xfId="0" applyBorder="1"/>
    <xf numFmtId="168" fontId="0" fillId="0" borderId="118" xfId="0" applyNumberFormat="1" applyBorder="1" applyAlignment="1">
      <alignment horizontal="center"/>
    </xf>
    <xf numFmtId="170" fontId="0" fillId="0" borderId="118" xfId="0" applyNumberFormat="1" applyBorder="1"/>
    <xf numFmtId="166" fontId="0" fillId="0" borderId="118" xfId="0" applyNumberFormat="1" applyBorder="1"/>
    <xf numFmtId="2" fontId="0" fillId="0" borderId="118" xfId="0" applyNumberFormat="1" applyBorder="1"/>
    <xf numFmtId="2" fontId="3" fillId="3" borderId="23" xfId="0" applyNumberFormat="1" applyFont="1" applyFill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118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3" fillId="3" borderId="23" xfId="0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vertical="center"/>
    </xf>
    <xf numFmtId="168" fontId="3" fillId="3" borderId="23" xfId="0" applyNumberFormat="1" applyFont="1" applyFill="1" applyBorder="1" applyAlignment="1">
      <alignment horizontal="center" vertical="center"/>
    </xf>
    <xf numFmtId="170" fontId="3" fillId="3" borderId="23" xfId="0" applyNumberFormat="1" applyFont="1" applyFill="1" applyBorder="1" applyAlignment="1">
      <alignment vertical="center"/>
    </xf>
    <xf numFmtId="166" fontId="3" fillId="3" borderId="23" xfId="0" applyNumberFormat="1" applyFont="1" applyFill="1" applyBorder="1" applyAlignment="1">
      <alignment vertical="center"/>
    </xf>
    <xf numFmtId="2" fontId="3" fillId="3" borderId="23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74" fontId="3" fillId="3" borderId="23" xfId="0" applyNumberFormat="1" applyFont="1" applyFill="1" applyBorder="1" applyAlignment="1">
      <alignment vertical="center"/>
    </xf>
    <xf numFmtId="174" fontId="0" fillId="0" borderId="24" xfId="0" applyNumberFormat="1" applyBorder="1"/>
    <xf numFmtId="174" fontId="0" fillId="0" borderId="22" xfId="0" applyNumberFormat="1" applyBorder="1"/>
    <xf numFmtId="174" fontId="0" fillId="0" borderId="118" xfId="0" applyNumberFormat="1" applyBorder="1"/>
    <xf numFmtId="174" fontId="0" fillId="0" borderId="0" xfId="0" applyNumberFormat="1"/>
    <xf numFmtId="174" fontId="0" fillId="0" borderId="0" xfId="0" applyNumberFormat="1" applyFont="1" applyAlignment="1"/>
    <xf numFmtId="168" fontId="3" fillId="3" borderId="23" xfId="0" applyNumberFormat="1" applyFont="1" applyFill="1" applyBorder="1" applyAlignment="1">
      <alignment vertical="center"/>
    </xf>
    <xf numFmtId="168" fontId="0" fillId="0" borderId="118" xfId="0" applyNumberFormat="1" applyBorder="1"/>
    <xf numFmtId="1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left"/>
    </xf>
    <xf numFmtId="1" fontId="0" fillId="0" borderId="22" xfId="0" applyNumberFormat="1" applyFont="1" applyBorder="1" applyAlignment="1">
      <alignment horizontal="center"/>
    </xf>
    <xf numFmtId="172" fontId="0" fillId="0" borderId="22" xfId="0" applyNumberFormat="1" applyFont="1" applyBorder="1" applyAlignment="1">
      <alignment horizontal="center"/>
    </xf>
    <xf numFmtId="2" fontId="0" fillId="0" borderId="22" xfId="0" applyNumberFormat="1" applyFont="1" applyBorder="1" applyAlignment="1">
      <alignment horizontal="center"/>
    </xf>
    <xf numFmtId="0" fontId="3" fillId="3" borderId="22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1" fontId="3" fillId="3" borderId="22" xfId="0" applyNumberFormat="1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168" fontId="0" fillId="0" borderId="22" xfId="0" applyNumberFormat="1" applyFont="1" applyBorder="1" applyAlignment="1">
      <alignment horizontal="center"/>
    </xf>
    <xf numFmtId="0" fontId="3" fillId="3" borderId="22" xfId="0" applyFont="1" applyFill="1" applyBorder="1" applyAlignment="1">
      <alignment vertical="center" wrapText="1"/>
    </xf>
    <xf numFmtId="0" fontId="0" fillId="0" borderId="24" xfId="0" applyFont="1" applyBorder="1" applyAlignment="1">
      <alignment horizontal="left"/>
    </xf>
    <xf numFmtId="1" fontId="0" fillId="0" borderId="24" xfId="0" applyNumberFormat="1" applyFont="1" applyBorder="1" applyAlignment="1">
      <alignment horizontal="center"/>
    </xf>
    <xf numFmtId="172" fontId="0" fillId="0" borderId="24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0" borderId="118" xfId="0" applyFont="1" applyBorder="1" applyAlignment="1">
      <alignment horizontal="left"/>
    </xf>
    <xf numFmtId="1" fontId="0" fillId="0" borderId="118" xfId="0" applyNumberFormat="1" applyFont="1" applyBorder="1" applyAlignment="1">
      <alignment horizontal="center"/>
    </xf>
    <xf numFmtId="172" fontId="0" fillId="0" borderId="118" xfId="0" applyNumberFormat="1" applyFont="1" applyBorder="1" applyAlignment="1">
      <alignment horizontal="center"/>
    </xf>
    <xf numFmtId="0" fontId="2" fillId="0" borderId="118" xfId="0" applyFont="1" applyBorder="1" applyAlignment="1">
      <alignment horizontal="center"/>
    </xf>
    <xf numFmtId="166" fontId="8" fillId="0" borderId="30" xfId="0" applyNumberFormat="1" applyFont="1" applyBorder="1" applyAlignment="1">
      <alignment horizontal="center"/>
    </xf>
    <xf numFmtId="166" fontId="8" fillId="0" borderId="22" xfId="0" applyNumberFormat="1" applyFont="1" applyBorder="1" applyAlignment="1">
      <alignment horizontal="center"/>
    </xf>
    <xf numFmtId="2" fontId="0" fillId="0" borderId="24" xfId="0" applyNumberFormat="1" applyFont="1" applyBorder="1" applyAlignment="1">
      <alignment horizontal="center"/>
    </xf>
    <xf numFmtId="2" fontId="0" fillId="0" borderId="118" xfId="0" applyNumberFormat="1" applyFont="1" applyBorder="1" applyAlignment="1">
      <alignment horizontal="center"/>
    </xf>
    <xf numFmtId="2" fontId="22" fillId="6" borderId="124" xfId="0" applyNumberFormat="1" applyFont="1" applyFill="1" applyBorder="1" applyAlignment="1">
      <alignment horizontal="center"/>
    </xf>
    <xf numFmtId="166" fontId="8" fillId="0" borderId="123" xfId="0" applyNumberFormat="1" applyFont="1" applyBorder="1" applyAlignment="1">
      <alignment horizontal="center"/>
    </xf>
    <xf numFmtId="166" fontId="8" fillId="0" borderId="27" xfId="0" applyNumberFormat="1" applyFont="1" applyBorder="1" applyAlignment="1">
      <alignment horizontal="center"/>
    </xf>
    <xf numFmtId="2" fontId="22" fillId="6" borderId="23" xfId="0" applyNumberFormat="1" applyFont="1" applyFill="1" applyBorder="1" applyAlignment="1">
      <alignment horizontal="center"/>
    </xf>
    <xf numFmtId="2" fontId="8" fillId="0" borderId="127" xfId="0" applyNumberFormat="1" applyFont="1" applyBorder="1" applyAlignment="1">
      <alignment horizontal="center"/>
    </xf>
    <xf numFmtId="172" fontId="4" fillId="0" borderId="22" xfId="0" applyNumberFormat="1" applyFont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vertical="top"/>
    </xf>
    <xf numFmtId="0" fontId="3" fillId="0" borderId="55" xfId="0" applyFont="1" applyBorder="1" applyAlignment="1">
      <alignment vertical="top" wrapText="1"/>
    </xf>
    <xf numFmtId="0" fontId="3" fillId="0" borderId="56" xfId="0" applyFont="1" applyBorder="1" applyAlignment="1">
      <alignment vertical="top" wrapText="1"/>
    </xf>
    <xf numFmtId="1" fontId="3" fillId="0" borderId="56" xfId="0" applyNumberFormat="1" applyFont="1" applyBorder="1" applyAlignment="1">
      <alignment vertical="top" wrapText="1"/>
    </xf>
    <xf numFmtId="0" fontId="3" fillId="0" borderId="57" xfId="0" applyFont="1" applyBorder="1" applyAlignment="1">
      <alignment vertical="top" wrapText="1"/>
    </xf>
    <xf numFmtId="0" fontId="15" fillId="7" borderId="51" xfId="0" applyFont="1" applyFill="1" applyBorder="1" applyAlignment="1">
      <alignment horizontal="left" vertical="top" wrapText="1"/>
    </xf>
    <xf numFmtId="0" fontId="15" fillId="7" borderId="52" xfId="0" applyFont="1" applyFill="1" applyBorder="1" applyAlignment="1">
      <alignment horizontal="left" vertical="top" wrapText="1"/>
    </xf>
    <xf numFmtId="0" fontId="15" fillId="7" borderId="53" xfId="0" applyFont="1" applyFill="1" applyBorder="1" applyAlignment="1">
      <alignment horizontal="left" vertical="top" wrapText="1"/>
    </xf>
    <xf numFmtId="0" fontId="15" fillId="7" borderId="53" xfId="0" applyFont="1" applyFill="1" applyBorder="1" applyAlignment="1">
      <alignment horizontal="center" vertical="top" wrapText="1"/>
    </xf>
    <xf numFmtId="0" fontId="15" fillId="7" borderId="54" xfId="0" applyFont="1" applyFill="1" applyBorder="1" applyAlignment="1">
      <alignment horizontal="left" vertical="top" wrapText="1"/>
    </xf>
    <xf numFmtId="0" fontId="15" fillId="7" borderId="0" xfId="0" applyFont="1" applyFill="1" applyBorder="1" applyAlignment="1">
      <alignment horizontal="center" vertical="top" wrapText="1"/>
    </xf>
    <xf numFmtId="0" fontId="15" fillId="7" borderId="23" xfId="0" applyFont="1" applyFill="1" applyBorder="1" applyAlignment="1"/>
    <xf numFmtId="1" fontId="3" fillId="0" borderId="70" xfId="0" applyNumberFormat="1" applyFont="1" applyBorder="1" applyAlignment="1">
      <alignment vertical="top" wrapText="1"/>
    </xf>
    <xf numFmtId="0" fontId="3" fillId="0" borderId="57" xfId="0" applyFont="1" applyBorder="1" applyAlignment="1">
      <alignment horizontal="left" vertical="top"/>
    </xf>
    <xf numFmtId="0" fontId="0" fillId="0" borderId="130" xfId="0" applyFont="1" applyBorder="1" applyAlignment="1">
      <alignment horizontal="right"/>
    </xf>
    <xf numFmtId="2" fontId="0" fillId="0" borderId="4" xfId="0" applyNumberFormat="1" applyFont="1" applyFill="1" applyBorder="1" applyAlignment="1">
      <alignment horizontal="right" vertical="top" wrapText="1"/>
    </xf>
    <xf numFmtId="172" fontId="0" fillId="0" borderId="0" xfId="0" applyNumberFormat="1" applyFont="1" applyAlignment="1">
      <alignment horizontal="right"/>
    </xf>
    <xf numFmtId="172" fontId="15" fillId="7" borderId="69" xfId="0" applyNumberFormat="1" applyFont="1" applyFill="1" applyBorder="1" applyAlignment="1">
      <alignment horizontal="right" vertical="top" wrapText="1"/>
    </xf>
    <xf numFmtId="172" fontId="0" fillId="0" borderId="4" xfId="0" applyNumberFormat="1" applyFont="1" applyFill="1" applyBorder="1" applyAlignment="1">
      <alignment horizontal="right" vertical="top" wrapText="1"/>
    </xf>
    <xf numFmtId="172" fontId="0" fillId="6" borderId="25" xfId="0" applyNumberFormat="1" applyFont="1" applyFill="1" applyBorder="1" applyAlignment="1">
      <alignment horizontal="right"/>
    </xf>
    <xf numFmtId="172" fontId="0" fillId="6" borderId="27" xfId="0" applyNumberFormat="1" applyFont="1" applyFill="1" applyBorder="1" applyAlignment="1">
      <alignment horizontal="right"/>
    </xf>
    <xf numFmtId="172" fontId="0" fillId="0" borderId="27" xfId="0" applyNumberFormat="1" applyFont="1" applyBorder="1" applyAlignment="1">
      <alignment horizontal="right"/>
    </xf>
    <xf numFmtId="172" fontId="0" fillId="0" borderId="52" xfId="0" applyNumberFormat="1" applyFont="1" applyBorder="1" applyAlignment="1">
      <alignment horizontal="right"/>
    </xf>
    <xf numFmtId="2" fontId="15" fillId="7" borderId="68" xfId="0" applyNumberFormat="1" applyFont="1" applyFill="1" applyBorder="1" applyAlignment="1">
      <alignment vertical="top" wrapText="1"/>
    </xf>
    <xf numFmtId="2" fontId="0" fillId="6" borderId="2" xfId="0" applyNumberFormat="1" applyFont="1" applyFill="1" applyBorder="1" applyAlignment="1"/>
    <xf numFmtId="2" fontId="0" fillId="6" borderId="4" xfId="0" applyNumberFormat="1" applyFont="1" applyFill="1" applyBorder="1" applyAlignment="1"/>
    <xf numFmtId="2" fontId="0" fillId="0" borderId="4" xfId="0" applyNumberFormat="1" applyFont="1" applyBorder="1" applyAlignment="1"/>
    <xf numFmtId="2" fontId="0" fillId="0" borderId="51" xfId="0" applyNumberFormat="1" applyFont="1" applyBorder="1" applyAlignment="1"/>
    <xf numFmtId="166" fontId="24" fillId="0" borderId="2" xfId="0" applyNumberFormat="1" applyFont="1" applyBorder="1" applyAlignment="1">
      <alignment horizontal="right"/>
    </xf>
    <xf numFmtId="166" fontId="24" fillId="0" borderId="30" xfId="0" applyNumberFormat="1" applyFont="1" applyBorder="1" applyAlignment="1">
      <alignment horizontal="right"/>
    </xf>
    <xf numFmtId="166" fontId="24" fillId="0" borderId="4" xfId="0" applyNumberFormat="1" applyFont="1" applyBorder="1" applyAlignment="1">
      <alignment horizontal="right"/>
    </xf>
    <xf numFmtId="0" fontId="0" fillId="0" borderId="0" xfId="0" applyFont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8" fontId="0" fillId="0" borderId="4" xfId="0" applyNumberFormat="1" applyFont="1" applyBorder="1" applyAlignment="1"/>
    <xf numFmtId="168" fontId="0" fillId="0" borderId="4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 vertical="center"/>
    </xf>
    <xf numFmtId="168" fontId="0" fillId="0" borderId="0" xfId="0" applyNumberFormat="1" applyFont="1" applyBorder="1" applyAlignment="1">
      <alignment horizontal="center"/>
    </xf>
    <xf numFmtId="0" fontId="0" fillId="10" borderId="4" xfId="0" applyFont="1" applyFill="1" applyBorder="1" applyAlignment="1"/>
    <xf numFmtId="172" fontId="7" fillId="0" borderId="2" xfId="0" applyNumberFormat="1" applyFont="1" applyBorder="1" applyAlignment="1">
      <alignment horizontal="right"/>
    </xf>
    <xf numFmtId="0" fontId="0" fillId="0" borderId="80" xfId="0" applyFont="1" applyBorder="1" applyAlignment="1"/>
    <xf numFmtId="168" fontId="0" fillId="0" borderId="80" xfId="0" applyNumberFormat="1" applyFont="1" applyBorder="1" applyAlignment="1"/>
    <xf numFmtId="166" fontId="0" fillId="0" borderId="0" xfId="0" applyNumberFormat="1" applyFont="1" applyAlignment="1">
      <alignment horizontal="center"/>
    </xf>
    <xf numFmtId="2" fontId="7" fillId="0" borderId="2" xfId="0" applyNumberFormat="1" applyFont="1" applyBorder="1" applyAlignment="1">
      <alignment horizontal="right"/>
    </xf>
    <xf numFmtId="170" fontId="7" fillId="0" borderId="7" xfId="0" applyNumberFormat="1" applyFont="1" applyBorder="1" applyAlignment="1">
      <alignment horizontal="center"/>
    </xf>
    <xf numFmtId="172" fontId="0" fillId="0" borderId="4" xfId="0" applyNumberFormat="1" applyFont="1" applyBorder="1" applyAlignment="1"/>
    <xf numFmtId="172" fontId="0" fillId="11" borderId="4" xfId="0" applyNumberFormat="1" applyFont="1" applyFill="1" applyBorder="1" applyAlignment="1"/>
    <xf numFmtId="168" fontId="0" fillId="11" borderId="4" xfId="0" applyNumberFormat="1" applyFont="1" applyFill="1" applyBorder="1" applyAlignment="1"/>
    <xf numFmtId="1" fontId="0" fillId="11" borderId="4" xfId="0" applyNumberFormat="1" applyFont="1" applyFill="1" applyBorder="1" applyAlignment="1"/>
    <xf numFmtId="1" fontId="0" fillId="0" borderId="4" xfId="0" applyNumberFormat="1" applyFont="1" applyFill="1" applyBorder="1" applyAlignment="1"/>
    <xf numFmtId="172" fontId="0" fillId="0" borderId="4" xfId="0" applyNumberFormat="1" applyFont="1" applyFill="1" applyBorder="1" applyAlignment="1"/>
    <xf numFmtId="168" fontId="0" fillId="0" borderId="4" xfId="0" applyNumberFormat="1" applyFont="1" applyFill="1" applyBorder="1" applyAlignment="1"/>
    <xf numFmtId="0" fontId="8" fillId="0" borderId="123" xfId="0" applyFont="1" applyBorder="1" applyAlignment="1">
      <alignment horizontal="right"/>
    </xf>
    <xf numFmtId="0" fontId="0" fillId="0" borderId="4" xfId="0" applyFont="1" applyFill="1" applyBorder="1" applyAlignment="1"/>
    <xf numFmtId="1" fontId="0" fillId="0" borderId="2" xfId="0" applyNumberFormat="1" applyFont="1" applyBorder="1" applyAlignment="1"/>
    <xf numFmtId="172" fontId="0" fillId="0" borderId="2" xfId="0" applyNumberFormat="1" applyFont="1" applyBorder="1" applyAlignment="1"/>
    <xf numFmtId="168" fontId="0" fillId="0" borderId="2" xfId="0" applyNumberFormat="1" applyFont="1" applyBorder="1" applyAlignment="1"/>
    <xf numFmtId="0" fontId="0" fillId="0" borderId="2" xfId="0" applyFont="1" applyBorder="1" applyAlignment="1"/>
    <xf numFmtId="0" fontId="25" fillId="10" borderId="4" xfId="0" applyFont="1" applyFill="1" applyBorder="1" applyAlignment="1"/>
    <xf numFmtId="0" fontId="3" fillId="10" borderId="2" xfId="0" applyFont="1" applyFill="1" applyBorder="1" applyAlignment="1"/>
    <xf numFmtId="0" fontId="3" fillId="10" borderId="4" xfId="0" applyFont="1" applyFill="1" applyBorder="1" applyAlignment="1"/>
    <xf numFmtId="0" fontId="8" fillId="0" borderId="4" xfId="0" applyFont="1" applyBorder="1" applyAlignment="1"/>
    <xf numFmtId="0" fontId="3" fillId="10" borderId="80" xfId="0" applyFont="1" applyFill="1" applyBorder="1" applyAlignment="1"/>
    <xf numFmtId="1" fontId="0" fillId="0" borderId="80" xfId="0" applyNumberFormat="1" applyFont="1" applyBorder="1" applyAlignment="1"/>
    <xf numFmtId="172" fontId="0" fillId="0" borderId="80" xfId="0" applyNumberFormat="1" applyFont="1" applyBorder="1" applyAlignment="1"/>
    <xf numFmtId="0" fontId="0" fillId="0" borderId="4" xfId="0" applyNumberFormat="1" applyFont="1" applyBorder="1" applyAlignment="1">
      <alignment horizontal="left"/>
    </xf>
    <xf numFmtId="0" fontId="8" fillId="6" borderId="123" xfId="0" applyFont="1" applyFill="1" applyBorder="1" applyAlignment="1">
      <alignment horizontal="center" vertical="center"/>
    </xf>
    <xf numFmtId="0" fontId="22" fillId="6" borderId="124" xfId="0" applyFont="1" applyFill="1" applyBorder="1" applyAlignment="1">
      <alignment horizontal="center"/>
    </xf>
    <xf numFmtId="0" fontId="8" fillId="6" borderId="123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6" borderId="4" xfId="0" applyFont="1" applyFill="1" applyBorder="1" applyAlignment="1"/>
    <xf numFmtId="0" fontId="8" fillId="6" borderId="73" xfId="0" applyFont="1" applyFill="1" applyBorder="1" applyAlignment="1"/>
    <xf numFmtId="0" fontId="8" fillId="6" borderId="0" xfId="0" applyFont="1" applyFill="1" applyBorder="1" applyAlignment="1">
      <alignment horizontal="center"/>
    </xf>
    <xf numFmtId="2" fontId="8" fillId="0" borderId="132" xfId="0" applyNumberFormat="1" applyFont="1" applyBorder="1" applyAlignment="1">
      <alignment horizontal="center"/>
    </xf>
    <xf numFmtId="2" fontId="8" fillId="0" borderId="73" xfId="0" applyNumberFormat="1" applyFont="1" applyBorder="1" applyAlignment="1">
      <alignment horizontal="center"/>
    </xf>
    <xf numFmtId="2" fontId="8" fillId="0" borderId="133" xfId="0" applyNumberFormat="1" applyFont="1" applyBorder="1" applyAlignment="1">
      <alignment horizontal="center"/>
    </xf>
    <xf numFmtId="166" fontId="8" fillId="0" borderId="80" xfId="0" applyNumberFormat="1" applyFont="1" applyBorder="1" applyAlignment="1">
      <alignment horizontal="center"/>
    </xf>
    <xf numFmtId="166" fontId="8" fillId="0" borderId="86" xfId="0" applyNumberFormat="1" applyFont="1" applyBorder="1" applyAlignment="1">
      <alignment horizontal="center"/>
    </xf>
    <xf numFmtId="166" fontId="8" fillId="0" borderId="0" xfId="0" applyNumberFormat="1" applyFont="1" applyBorder="1" applyAlignment="1">
      <alignment horizontal="center"/>
    </xf>
    <xf numFmtId="2" fontId="8" fillId="0" borderId="134" xfId="0" applyNumberFormat="1" applyFont="1" applyBorder="1" applyAlignment="1">
      <alignment horizontal="center"/>
    </xf>
    <xf numFmtId="0" fontId="8" fillId="6" borderId="135" xfId="0" applyFont="1" applyFill="1" applyBorder="1" applyAlignment="1">
      <alignment horizontal="center"/>
    </xf>
    <xf numFmtId="166" fontId="8" fillId="11" borderId="2" xfId="0" applyNumberFormat="1" applyFont="1" applyFill="1" applyBorder="1" applyAlignment="1">
      <alignment horizontal="center"/>
    </xf>
    <xf numFmtId="166" fontId="8" fillId="11" borderId="80" xfId="0" applyNumberFormat="1" applyFont="1" applyFill="1" applyBorder="1" applyAlignment="1">
      <alignment horizontal="center"/>
    </xf>
    <xf numFmtId="2" fontId="8" fillId="11" borderId="4" xfId="0" applyNumberFormat="1" applyFont="1" applyFill="1" applyBorder="1" applyAlignment="1">
      <alignment horizontal="center"/>
    </xf>
    <xf numFmtId="166" fontId="8" fillId="11" borderId="30" xfId="0" applyNumberFormat="1" applyFont="1" applyFill="1" applyBorder="1" applyAlignment="1">
      <alignment horizontal="center"/>
    </xf>
    <xf numFmtId="2" fontId="22" fillId="3" borderId="136" xfId="0" applyNumberFormat="1" applyFont="1" applyFill="1" applyBorder="1" applyAlignment="1">
      <alignment horizontal="center"/>
    </xf>
    <xf numFmtId="2" fontId="8" fillId="0" borderId="137" xfId="0" applyNumberFormat="1" applyFont="1" applyBorder="1" applyAlignment="1">
      <alignment horizontal="center"/>
    </xf>
    <xf numFmtId="2" fontId="8" fillId="0" borderId="138" xfId="0" applyNumberFormat="1" applyFont="1" applyBorder="1" applyAlignment="1">
      <alignment horizontal="center"/>
    </xf>
    <xf numFmtId="2" fontId="8" fillId="0" borderId="139" xfId="0" applyNumberFormat="1" applyFont="1" applyBorder="1" applyAlignment="1">
      <alignment horizontal="center"/>
    </xf>
    <xf numFmtId="2" fontId="8" fillId="0" borderId="100" xfId="0" applyNumberFormat="1" applyFont="1" applyBorder="1" applyAlignment="1">
      <alignment horizontal="center"/>
    </xf>
    <xf numFmtId="2" fontId="8" fillId="0" borderId="135" xfId="0" applyNumberFormat="1" applyFont="1" applyBorder="1" applyAlignment="1">
      <alignment horizontal="center"/>
    </xf>
    <xf numFmtId="2" fontId="8" fillId="11" borderId="116" xfId="0" applyNumberFormat="1" applyFont="1" applyFill="1" applyBorder="1" applyAlignment="1">
      <alignment horizontal="center"/>
    </xf>
    <xf numFmtId="2" fontId="8" fillId="0" borderId="140" xfId="0" applyNumberFormat="1" applyFont="1" applyBorder="1" applyAlignment="1">
      <alignment horizontal="center"/>
    </xf>
    <xf numFmtId="2" fontId="8" fillId="0" borderId="141" xfId="0" applyNumberFormat="1" applyFont="1" applyBorder="1" applyAlignment="1">
      <alignment horizontal="center"/>
    </xf>
    <xf numFmtId="2" fontId="8" fillId="11" borderId="80" xfId="0" applyNumberFormat="1" applyFont="1" applyFill="1" applyBorder="1" applyAlignment="1">
      <alignment horizontal="center"/>
    </xf>
    <xf numFmtId="2" fontId="8" fillId="11" borderId="2" xfId="0" applyNumberFormat="1" applyFont="1" applyFill="1" applyBorder="1" applyAlignment="1">
      <alignment horizontal="center"/>
    </xf>
    <xf numFmtId="2" fontId="8" fillId="0" borderId="131" xfId="0" applyNumberFormat="1" applyFont="1" applyBorder="1" applyAlignment="1">
      <alignment horizontal="center"/>
    </xf>
    <xf numFmtId="0" fontId="8" fillId="6" borderId="27" xfId="0" applyFont="1" applyFill="1" applyBorder="1" applyAlignment="1">
      <alignment horizontal="center"/>
    </xf>
    <xf numFmtId="1" fontId="8" fillId="6" borderId="25" xfId="0" applyNumberFormat="1" applyFont="1" applyFill="1" applyBorder="1" applyAlignment="1">
      <alignment horizontal="center" vertical="center"/>
    </xf>
    <xf numFmtId="1" fontId="22" fillId="6" borderId="114" xfId="0" applyNumberFormat="1" applyFont="1" applyFill="1" applyBorder="1" applyAlignment="1">
      <alignment horizontal="center"/>
    </xf>
    <xf numFmtId="1" fontId="8" fillId="0" borderId="25" xfId="0" applyNumberFormat="1" applyFont="1" applyFill="1" applyBorder="1" applyAlignment="1">
      <alignment horizontal="center"/>
    </xf>
    <xf numFmtId="1" fontId="8" fillId="0" borderId="74" xfId="0" applyNumberFormat="1" applyFont="1" applyFill="1" applyBorder="1" applyAlignment="1">
      <alignment horizontal="center"/>
    </xf>
    <xf numFmtId="1" fontId="8" fillId="0" borderId="127" xfId="0" applyNumberFormat="1" applyFont="1" applyFill="1" applyBorder="1" applyAlignment="1">
      <alignment horizontal="center"/>
    </xf>
    <xf numFmtId="14" fontId="0" fillId="0" borderId="22" xfId="0" applyNumberFormat="1" applyFont="1" applyBorder="1" applyAlignment="1">
      <alignment horizontal="left"/>
    </xf>
    <xf numFmtId="168" fontId="3" fillId="3" borderId="22" xfId="0" applyNumberFormat="1" applyFont="1" applyFill="1" applyBorder="1" applyAlignment="1">
      <alignment horizontal="center" vertical="center" wrapText="1"/>
    </xf>
    <xf numFmtId="166" fontId="0" fillId="0" borderId="0" xfId="0" applyNumberFormat="1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2" borderId="1" xfId="0" applyFont="1" applyFill="1" applyBorder="1" applyAlignment="1">
      <alignment horizontal="center" vertical="center" wrapText="1"/>
    </xf>
    <xf numFmtId="166" fontId="26" fillId="0" borderId="2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68" fontId="3" fillId="12" borderId="22" xfId="0" applyNumberFormat="1" applyFont="1" applyFill="1" applyBorder="1" applyAlignment="1">
      <alignment horizontal="center" vertical="center" wrapText="1"/>
    </xf>
    <xf numFmtId="166" fontId="3" fillId="12" borderId="22" xfId="0" applyNumberFormat="1" applyFont="1" applyFill="1" applyBorder="1" applyAlignment="1">
      <alignment horizontal="center" vertical="center" wrapText="1"/>
    </xf>
    <xf numFmtId="168" fontId="0" fillId="0" borderId="22" xfId="0" applyNumberFormat="1" applyFont="1" applyFill="1" applyBorder="1" applyAlignment="1">
      <alignment horizontal="center"/>
    </xf>
    <xf numFmtId="166" fontId="0" fillId="0" borderId="22" xfId="0" applyNumberFormat="1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2" fontId="0" fillId="0" borderId="22" xfId="0" applyNumberFormat="1" applyFont="1" applyFill="1" applyBorder="1" applyAlignment="1">
      <alignment horizontal="center"/>
    </xf>
    <xf numFmtId="2" fontId="22" fillId="3" borderId="0" xfId="0" applyNumberFormat="1" applyFont="1" applyFill="1" applyBorder="1" applyAlignment="1">
      <alignment horizontal="center"/>
    </xf>
    <xf numFmtId="2" fontId="22" fillId="11" borderId="107" xfId="0" applyNumberFormat="1" applyFont="1" applyFill="1" applyBorder="1" applyAlignment="1">
      <alignment horizontal="center"/>
    </xf>
    <xf numFmtId="2" fontId="8" fillId="11" borderId="0" xfId="0" applyNumberFormat="1" applyFont="1" applyFill="1" applyAlignment="1">
      <alignment horizontal="center"/>
    </xf>
    <xf numFmtId="2" fontId="22" fillId="11" borderId="128" xfId="0" applyNumberFormat="1" applyFont="1" applyFill="1" applyBorder="1" applyAlignment="1">
      <alignment horizontal="center"/>
    </xf>
    <xf numFmtId="2" fontId="8" fillId="11" borderId="25" xfId="0" applyNumberFormat="1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 vertical="center" wrapText="1"/>
    </xf>
    <xf numFmtId="2" fontId="3" fillId="10" borderId="4" xfId="0" applyNumberFormat="1" applyFont="1" applyFill="1" applyBorder="1" applyAlignment="1">
      <alignment horizontal="center" vertical="center" wrapText="1"/>
    </xf>
    <xf numFmtId="168" fontId="3" fillId="10" borderId="4" xfId="0" applyNumberFormat="1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/>
    </xf>
    <xf numFmtId="0" fontId="3" fillId="0" borderId="4" xfId="0" applyFont="1" applyFill="1" applyBorder="1" applyAlignment="1"/>
    <xf numFmtId="0" fontId="15" fillId="7" borderId="90" xfId="0" applyFont="1" applyFill="1" applyBorder="1" applyAlignment="1">
      <alignment horizontal="center"/>
    </xf>
    <xf numFmtId="168" fontId="3" fillId="0" borderId="4" xfId="0" applyNumberFormat="1" applyFont="1" applyFill="1" applyBorder="1" applyAlignment="1"/>
    <xf numFmtId="0" fontId="19" fillId="7" borderId="90" xfId="0" applyFont="1" applyFill="1" applyBorder="1" applyAlignment="1">
      <alignment horizontal="center"/>
    </xf>
    <xf numFmtId="0" fontId="19" fillId="7" borderId="4" xfId="0" applyFont="1" applyFill="1" applyBorder="1" applyAlignment="1">
      <alignment horizontal="center"/>
    </xf>
    <xf numFmtId="0" fontId="19" fillId="7" borderId="80" xfId="0" applyFont="1" applyFill="1" applyBorder="1" applyAlignment="1">
      <alignment horizontal="center"/>
    </xf>
    <xf numFmtId="173" fontId="1" fillId="0" borderId="0" xfId="0" applyNumberFormat="1" applyFont="1" applyBorder="1" applyAlignment="1">
      <alignment horizontal="right"/>
    </xf>
    <xf numFmtId="0" fontId="3" fillId="0" borderId="95" xfId="0" applyFont="1" applyBorder="1" applyAlignment="1"/>
    <xf numFmtId="0" fontId="0" fillId="0" borderId="144" xfId="0" applyFont="1" applyBorder="1" applyAlignment="1"/>
    <xf numFmtId="0" fontId="0" fillId="0" borderId="73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58" xfId="0" applyFont="1" applyFill="1" applyBorder="1" applyAlignment="1"/>
    <xf numFmtId="0" fontId="0" fillId="0" borderId="4" xfId="0" applyFont="1" applyFill="1" applyBorder="1" applyAlignment="1">
      <alignment horizontal="right"/>
    </xf>
    <xf numFmtId="2" fontId="0" fillId="0" borderId="4" xfId="0" applyNumberFormat="1" applyFont="1" applyFill="1" applyBorder="1" applyAlignment="1"/>
    <xf numFmtId="172" fontId="0" fillId="0" borderId="27" xfId="0" applyNumberFormat="1" applyFont="1" applyFill="1" applyBorder="1" applyAlignment="1">
      <alignment horizontal="right"/>
    </xf>
    <xf numFmtId="0" fontId="0" fillId="0" borderId="27" xfId="0" applyFont="1" applyFill="1" applyBorder="1" applyAlignment="1">
      <alignment horizontal="right"/>
    </xf>
    <xf numFmtId="165" fontId="0" fillId="0" borderId="59" xfId="0" applyNumberFormat="1" applyFont="1" applyFill="1" applyBorder="1" applyAlignment="1">
      <alignment horizontal="right"/>
    </xf>
    <xf numFmtId="0" fontId="0" fillId="0" borderId="0" xfId="0" applyFont="1" applyFill="1" applyAlignment="1"/>
    <xf numFmtId="0" fontId="0" fillId="0" borderId="59" xfId="0" applyFont="1" applyFill="1" applyBorder="1" applyAlignment="1"/>
    <xf numFmtId="0" fontId="0" fillId="0" borderId="4" xfId="0" applyFont="1" applyBorder="1" applyAlignment="1">
      <alignment horizontal="left"/>
    </xf>
    <xf numFmtId="0" fontId="0" fillId="0" borderId="80" xfId="0" applyFont="1" applyBorder="1" applyAlignment="1">
      <alignment horizontal="center"/>
    </xf>
    <xf numFmtId="2" fontId="0" fillId="0" borderId="80" xfId="0" applyNumberFormat="1" applyFont="1" applyBorder="1" applyAlignment="1">
      <alignment horizontal="center" vertical="center"/>
    </xf>
    <xf numFmtId="168" fontId="0" fillId="0" borderId="80" xfId="0" applyNumberFormat="1" applyFont="1" applyBorder="1" applyAlignment="1">
      <alignment horizontal="center"/>
    </xf>
    <xf numFmtId="0" fontId="0" fillId="0" borderId="80" xfId="0" applyNumberFormat="1" applyFont="1" applyBorder="1" applyAlignment="1">
      <alignment horizontal="left"/>
    </xf>
    <xf numFmtId="0" fontId="0" fillId="0" borderId="80" xfId="0" applyFont="1" applyBorder="1" applyAlignment="1">
      <alignment horizontal="right"/>
    </xf>
    <xf numFmtId="0" fontId="0" fillId="0" borderId="90" xfId="0" applyFont="1" applyBorder="1" applyAlignment="1">
      <alignment horizontal="right"/>
    </xf>
    <xf numFmtId="0" fontId="3" fillId="13" borderId="4" xfId="0" applyFont="1" applyFill="1" applyBorder="1" applyAlignment="1">
      <alignment horizontal="center" vertical="center" wrapText="1"/>
    </xf>
    <xf numFmtId="0" fontId="0" fillId="13" borderId="4" xfId="0" applyFont="1" applyFill="1" applyBorder="1" applyAlignment="1"/>
    <xf numFmtId="0" fontId="0" fillId="13" borderId="80" xfId="0" applyFont="1" applyFill="1" applyBorder="1" applyAlignment="1"/>
    <xf numFmtId="0" fontId="0" fillId="13" borderId="0" xfId="0" applyFont="1" applyFill="1" applyBorder="1" applyAlignment="1"/>
    <xf numFmtId="0" fontId="0" fillId="13" borderId="2" xfId="0" applyFont="1" applyFill="1" applyBorder="1" applyAlignment="1"/>
    <xf numFmtId="0" fontId="0" fillId="0" borderId="2" xfId="0" applyFont="1" applyBorder="1" applyAlignment="1">
      <alignment horizontal="center"/>
    </xf>
    <xf numFmtId="2" fontId="0" fillId="0" borderId="2" xfId="0" applyNumberFormat="1" applyFont="1" applyBorder="1" applyAlignment="1">
      <alignment horizontal="center" vertical="center"/>
    </xf>
    <xf numFmtId="168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7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3" borderId="145" xfId="0" applyFont="1" applyFill="1" applyBorder="1" applyAlignment="1"/>
    <xf numFmtId="0" fontId="0" fillId="0" borderId="145" xfId="0" applyFont="1" applyBorder="1" applyAlignment="1"/>
    <xf numFmtId="0" fontId="0" fillId="0" borderId="145" xfId="0" applyFont="1" applyBorder="1" applyAlignment="1">
      <alignment horizontal="center"/>
    </xf>
    <xf numFmtId="2" fontId="0" fillId="0" borderId="145" xfId="0" applyNumberFormat="1" applyFont="1" applyBorder="1" applyAlignment="1">
      <alignment horizontal="center" vertical="center"/>
    </xf>
    <xf numFmtId="168" fontId="0" fillId="0" borderId="145" xfId="0" applyNumberFormat="1" applyFont="1" applyBorder="1" applyAlignment="1">
      <alignment horizontal="center"/>
    </xf>
    <xf numFmtId="168" fontId="0" fillId="0" borderId="145" xfId="0" applyNumberFormat="1" applyFont="1" applyBorder="1" applyAlignment="1"/>
    <xf numFmtId="0" fontId="0" fillId="0" borderId="113" xfId="0" applyFont="1" applyBorder="1" applyAlignment="1">
      <alignment horizontal="center"/>
    </xf>
    <xf numFmtId="0" fontId="0" fillId="0" borderId="145" xfId="0" applyFont="1" applyBorder="1" applyAlignment="1">
      <alignment horizontal="left"/>
    </xf>
    <xf numFmtId="0" fontId="0" fillId="0" borderId="146" xfId="0" applyFont="1" applyBorder="1" applyAlignment="1">
      <alignment horizontal="right"/>
    </xf>
    <xf numFmtId="0" fontId="0" fillId="0" borderId="145" xfId="0" applyFont="1" applyBorder="1" applyAlignment="1">
      <alignment horizontal="right"/>
    </xf>
    <xf numFmtId="164" fontId="7" fillId="0" borderId="32" xfId="0" applyNumberFormat="1" applyFont="1" applyBorder="1"/>
    <xf numFmtId="164" fontId="7" fillId="0" borderId="7" xfId="0" applyNumberFormat="1" applyFont="1" applyBorder="1" applyAlignment="1">
      <alignment horizontal="center"/>
    </xf>
    <xf numFmtId="0" fontId="7" fillId="0" borderId="7" xfId="0" applyFont="1" applyBorder="1"/>
    <xf numFmtId="166" fontId="7" fillId="0" borderId="7" xfId="0" applyNumberFormat="1" applyFont="1" applyBorder="1"/>
    <xf numFmtId="0" fontId="7" fillId="0" borderId="2" xfId="0" applyNumberFormat="1" applyFont="1" applyBorder="1" applyAlignment="1">
      <alignment horizontal="right"/>
    </xf>
    <xf numFmtId="0" fontId="0" fillId="13" borderId="27" xfId="0" applyFont="1" applyFill="1" applyBorder="1" applyAlignment="1"/>
    <xf numFmtId="0" fontId="0" fillId="0" borderId="80" xfId="0" applyFont="1" applyBorder="1" applyAlignment="1">
      <alignment horizontal="left"/>
    </xf>
    <xf numFmtId="0" fontId="0" fillId="0" borderId="101" xfId="0" applyFont="1" applyBorder="1" applyAlignment="1">
      <alignment horizontal="right"/>
    </xf>
    <xf numFmtId="0" fontId="7" fillId="0" borderId="30" xfId="0" applyNumberFormat="1" applyFont="1" applyBorder="1" applyAlignment="1">
      <alignment horizontal="right"/>
    </xf>
    <xf numFmtId="22" fontId="7" fillId="0" borderId="144" xfId="0" applyNumberFormat="1" applyFont="1" applyFill="1" applyBorder="1" applyAlignment="1"/>
    <xf numFmtId="0" fontId="7" fillId="0" borderId="22" xfId="0" applyFont="1" applyFill="1" applyBorder="1" applyAlignment="1"/>
    <xf numFmtId="0" fontId="7" fillId="0" borderId="7" xfId="0" applyFont="1" applyFill="1" applyBorder="1" applyAlignment="1"/>
    <xf numFmtId="0" fontId="7" fillId="0" borderId="90" xfId="0" applyFont="1" applyFill="1" applyBorder="1" applyAlignment="1"/>
    <xf numFmtId="0" fontId="24" fillId="0" borderId="7" xfId="0" applyFont="1" applyFill="1" applyBorder="1" applyAlignment="1"/>
    <xf numFmtId="3" fontId="7" fillId="0" borderId="7" xfId="0" applyNumberFormat="1" applyFont="1" applyFill="1" applyBorder="1" applyAlignment="1"/>
    <xf numFmtId="22" fontId="7" fillId="0" borderId="123" xfId="0" applyNumberFormat="1" applyFont="1" applyFill="1" applyBorder="1" applyAlignment="1"/>
    <xf numFmtId="0" fontId="7" fillId="0" borderId="30" xfId="0" applyFont="1" applyFill="1" applyBorder="1" applyAlignment="1"/>
    <xf numFmtId="0" fontId="8" fillId="0" borderId="2" xfId="0" applyFont="1" applyFill="1" applyBorder="1" applyAlignment="1"/>
    <xf numFmtId="0" fontId="7" fillId="0" borderId="24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7" fillId="0" borderId="90" xfId="0" applyFont="1" applyFill="1" applyBorder="1" applyAlignment="1">
      <alignment horizontal="center"/>
    </xf>
    <xf numFmtId="0" fontId="7" fillId="0" borderId="123" xfId="0" applyFont="1" applyFill="1" applyBorder="1" applyAlignment="1">
      <alignment horizontal="center"/>
    </xf>
    <xf numFmtId="3" fontId="7" fillId="0" borderId="7" xfId="0" applyNumberFormat="1" applyFont="1" applyFill="1" applyBorder="1" applyAlignment="1">
      <alignment horizontal="center"/>
    </xf>
    <xf numFmtId="0" fontId="7" fillId="14" borderId="29" xfId="0" applyFont="1" applyFill="1" applyBorder="1" applyAlignment="1">
      <alignment horizontal="center"/>
    </xf>
    <xf numFmtId="0" fontId="7" fillId="15" borderId="147" xfId="0" applyFont="1" applyFill="1" applyBorder="1" applyAlignment="1">
      <alignment horizontal="center"/>
    </xf>
    <xf numFmtId="166" fontId="26" fillId="0" borderId="2" xfId="0" applyNumberFormat="1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/>
    </xf>
    <xf numFmtId="2" fontId="22" fillId="6" borderId="0" xfId="0" applyNumberFormat="1" applyFont="1" applyFill="1" applyBorder="1" applyAlignment="1">
      <alignment horizontal="center" vertical="center"/>
    </xf>
    <xf numFmtId="164" fontId="7" fillId="0" borderId="87" xfId="0" applyNumberFormat="1" applyFont="1" applyFill="1" applyBorder="1"/>
    <xf numFmtId="164" fontId="7" fillId="0" borderId="0" xfId="0" applyNumberFormat="1" applyFont="1" applyFill="1" applyBorder="1"/>
    <xf numFmtId="164" fontId="7" fillId="0" borderId="0" xfId="0" applyNumberFormat="1" applyFont="1" applyBorder="1"/>
    <xf numFmtId="22" fontId="7" fillId="0" borderId="0" xfId="0" applyNumberFormat="1" applyFont="1" applyFill="1" applyBorder="1" applyAlignment="1"/>
    <xf numFmtId="0" fontId="29" fillId="16" borderId="6" xfId="2" applyNumberFormat="1" applyBorder="1"/>
    <xf numFmtId="0" fontId="29" fillId="16" borderId="6" xfId="2" applyBorder="1"/>
    <xf numFmtId="0" fontId="29" fillId="16" borderId="6" xfId="2" applyBorder="1" applyAlignment="1"/>
    <xf numFmtId="0" fontId="29" fillId="0" borderId="6" xfId="2" applyNumberFormat="1" applyFill="1" applyBorder="1"/>
    <xf numFmtId="0" fontId="29" fillId="0" borderId="6" xfId="2" applyFill="1" applyBorder="1" applyAlignment="1"/>
    <xf numFmtId="0" fontId="18" fillId="8" borderId="63" xfId="0" applyFont="1" applyFill="1" applyBorder="1" applyAlignment="1">
      <alignment horizontal="center"/>
    </xf>
    <xf numFmtId="171" fontId="7" fillId="3" borderId="95" xfId="0" applyNumberFormat="1" applyFont="1" applyFill="1" applyBorder="1" applyAlignment="1">
      <alignment horizontal="center"/>
    </xf>
    <xf numFmtId="171" fontId="7" fillId="3" borderId="96" xfId="0" applyNumberFormat="1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6" borderId="82" xfId="0" applyFont="1" applyFill="1" applyBorder="1" applyAlignment="1">
      <alignment horizontal="left" wrapText="1"/>
    </xf>
    <xf numFmtId="0" fontId="3" fillId="6" borderId="83" xfId="0" applyFont="1" applyFill="1" applyBorder="1" applyAlignment="1">
      <alignment horizontal="left" wrapText="1"/>
    </xf>
    <xf numFmtId="0" fontId="0" fillId="6" borderId="62" xfId="0" applyFont="1" applyFill="1" applyBorder="1" applyAlignment="1">
      <alignment horizontal="center" vertical="center"/>
    </xf>
    <xf numFmtId="0" fontId="0" fillId="6" borderId="81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2" fontId="22" fillId="6" borderId="142" xfId="0" applyNumberFormat="1" applyFont="1" applyFill="1" applyBorder="1" applyAlignment="1">
      <alignment horizontal="center" vertical="center" wrapText="1"/>
    </xf>
    <xf numFmtId="2" fontId="22" fillId="6" borderId="143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2" fontId="22" fillId="6" borderId="102" xfId="0" applyNumberFormat="1" applyFont="1" applyFill="1" applyBorder="1" applyAlignment="1">
      <alignment horizontal="center" vertical="center"/>
    </xf>
    <xf numFmtId="2" fontId="22" fillId="6" borderId="103" xfId="0" applyNumberFormat="1" applyFont="1" applyFill="1" applyBorder="1" applyAlignment="1">
      <alignment horizontal="center" vertical="center"/>
    </xf>
    <xf numFmtId="2" fontId="22" fillId="6" borderId="119" xfId="0" applyNumberFormat="1" applyFont="1" applyFill="1" applyBorder="1" applyAlignment="1">
      <alignment horizontal="center" vertical="center"/>
    </xf>
    <xf numFmtId="2" fontId="22" fillId="6" borderId="110" xfId="0" applyNumberFormat="1" applyFont="1" applyFill="1" applyBorder="1" applyAlignment="1">
      <alignment horizontal="center" vertical="center"/>
    </xf>
    <xf numFmtId="2" fontId="22" fillId="6" borderId="112" xfId="0" applyNumberFormat="1" applyFont="1" applyFill="1" applyBorder="1" applyAlignment="1">
      <alignment horizontal="center" vertical="center"/>
    </xf>
    <xf numFmtId="2" fontId="22" fillId="6" borderId="125" xfId="0" applyNumberFormat="1" applyFont="1" applyFill="1" applyBorder="1" applyAlignment="1">
      <alignment horizontal="center" vertical="center"/>
    </xf>
    <xf numFmtId="2" fontId="22" fillId="6" borderId="123" xfId="0" applyNumberFormat="1" applyFont="1" applyFill="1" applyBorder="1" applyAlignment="1">
      <alignment horizontal="center" vertical="center"/>
    </xf>
    <xf numFmtId="2" fontId="22" fillId="6" borderId="0" xfId="0" applyNumberFormat="1" applyFont="1" applyFill="1" applyBorder="1" applyAlignment="1">
      <alignment horizontal="center" vertical="center"/>
    </xf>
    <xf numFmtId="2" fontId="22" fillId="6" borderId="126" xfId="0" applyNumberFormat="1" applyFont="1" applyFill="1" applyBorder="1" applyAlignment="1">
      <alignment horizontal="center" vertical="center"/>
    </xf>
    <xf numFmtId="2" fontId="22" fillId="6" borderId="45" xfId="0" applyNumberFormat="1" applyFont="1" applyFill="1" applyBorder="1" applyAlignment="1">
      <alignment horizontal="center" vertical="center"/>
    </xf>
    <xf numFmtId="2" fontId="22" fillId="6" borderId="129" xfId="0" applyNumberFormat="1" applyFont="1" applyFill="1" applyBorder="1" applyAlignment="1">
      <alignment horizontal="center" vertical="center"/>
    </xf>
  </cellXfs>
  <cellStyles count="3">
    <cellStyle name="Comma" xfId="1" builtinId="3"/>
    <cellStyle name="Good" xfId="2" builtinId="26"/>
    <cellStyle name="Normal" xfId="0" builtinId="0"/>
  </cellStyles>
  <dxfs count="23"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4CDD1"/>
        </patternFill>
      </fill>
    </dxf>
    <dxf>
      <fill>
        <patternFill>
          <bgColor rgb="FFF4CDD1"/>
        </patternFill>
      </fill>
    </dxf>
    <dxf>
      <fill>
        <patternFill>
          <bgColor rgb="FFF4CDD1"/>
        </patternFill>
      </fill>
    </dxf>
    <dxf>
      <fill>
        <patternFill>
          <bgColor rgb="FFF4CDD1"/>
        </patternFill>
      </fill>
    </dxf>
    <dxf>
      <fill>
        <patternFill>
          <bgColor rgb="FFF4CDD1"/>
        </patternFill>
      </fill>
    </dxf>
    <dxf>
      <fill>
        <patternFill>
          <bgColor rgb="FFF4CDD1"/>
        </patternFill>
      </fill>
    </dxf>
    <dxf>
      <fill>
        <patternFill>
          <bgColor rgb="FFF4CDD1"/>
        </patternFill>
      </fill>
    </dxf>
    <dxf>
      <fill>
        <patternFill>
          <bgColor rgb="FFF4CDD1"/>
        </patternFill>
      </fill>
    </dxf>
    <dxf>
      <fill>
        <patternFill>
          <bgColor rgb="FFF4CDD1"/>
        </patternFill>
      </fill>
    </dxf>
    <dxf>
      <fill>
        <patternFill>
          <bgColor rgb="FFF4CDD1"/>
        </patternFill>
      </fill>
    </dxf>
    <dxf>
      <fill>
        <patternFill>
          <bgColor rgb="FFF4CDD1"/>
        </patternFill>
      </fill>
    </dxf>
    <dxf>
      <fill>
        <patternFill>
          <bgColor rgb="FFF4CDD1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E3E1E4"/>
      <color rgb="FFF4CDD1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Sabot Separation Data Points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Completed Tests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Data!$CE$33:$CE$54</c:f>
              <c:numCache>
                <c:formatCode>General</c:formatCode>
                <c:ptCount val="22"/>
                <c:pt idx="0">
                  <c:v>203</c:v>
                </c:pt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299</c:v>
                </c:pt>
                <c:pt idx="5">
                  <c:v>215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110</c:v>
                </c:pt>
                <c:pt idx="11">
                  <c:v>110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80</c:v>
                </c:pt>
                <c:pt idx="17">
                  <c:v>75</c:v>
                </c:pt>
                <c:pt idx="18">
                  <c:v>75</c:v>
                </c:pt>
                <c:pt idx="19">
                  <c:v>76</c:v>
                </c:pt>
                <c:pt idx="20">
                  <c:v>100</c:v>
                </c:pt>
                <c:pt idx="21">
                  <c:v>76</c:v>
                </c:pt>
              </c:numCache>
            </c:numRef>
          </c:xVal>
          <c:yVal>
            <c:numRef>
              <c:f>Data!$CD$33:$CD$54</c:f>
              <c:numCache>
                <c:formatCode>General</c:formatCode>
                <c:ptCount val="22"/>
                <c:pt idx="0">
                  <c:v>1952.8908310981305</c:v>
                </c:pt>
                <c:pt idx="1">
                  <c:v>1971.1323203780705</c:v>
                </c:pt>
                <c:pt idx="2">
                  <c:v>2033.7881496032053</c:v>
                </c:pt>
                <c:pt idx="3">
                  <c:v>2264.1999999999998</c:v>
                </c:pt>
                <c:pt idx="4">
                  <c:v>2434.9</c:v>
                </c:pt>
                <c:pt idx="5">
                  <c:v>2498</c:v>
                </c:pt>
                <c:pt idx="6">
                  <c:v>2513.9501608375035</c:v>
                </c:pt>
                <c:pt idx="7">
                  <c:v>2625.8349104681324</c:v>
                </c:pt>
                <c:pt idx="8">
                  <c:v>3106.9136845318139</c:v>
                </c:pt>
                <c:pt idx="9">
                  <c:v>3233.7638055035945</c:v>
                </c:pt>
                <c:pt idx="10">
                  <c:v>3496.4900892163246</c:v>
                </c:pt>
                <c:pt idx="11">
                  <c:v>3807.2950310992551</c:v>
                </c:pt>
                <c:pt idx="12">
                  <c:v>3896.5</c:v>
                </c:pt>
                <c:pt idx="13">
                  <c:v>4054.4767058555262</c:v>
                </c:pt>
                <c:pt idx="14">
                  <c:v>4500</c:v>
                </c:pt>
                <c:pt idx="15">
                  <c:v>5300</c:v>
                </c:pt>
                <c:pt idx="16">
                  <c:v>5933.1</c:v>
                </c:pt>
                <c:pt idx="17">
                  <c:v>6252.6683262082097</c:v>
                </c:pt>
                <c:pt idx="18">
                  <c:v>6295.467571826196</c:v>
                </c:pt>
                <c:pt idx="19">
                  <c:v>6371.7300440707077</c:v>
                </c:pt>
                <c:pt idx="20">
                  <c:v>6484.1080455569108</c:v>
                </c:pt>
                <c:pt idx="21">
                  <c:v>6536.8463507728411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2-47A5-AE3E-E31382353C94}"/>
            </c:ext>
          </c:extLst>
        </c:ser>
        <c:ser>
          <c:idx val="1"/>
          <c:order val="1"/>
          <c:tx>
            <c:v>Needed Tests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Data!$CE$62:$CE$67</c:f>
              <c:numCache>
                <c:formatCode>General</c:formatCode>
                <c:ptCount val="6"/>
                <c:pt idx="0">
                  <c:v>150</c:v>
                </c:pt>
                <c:pt idx="1">
                  <c:v>150</c:v>
                </c:pt>
                <c:pt idx="2">
                  <c:v>250</c:v>
                </c:pt>
                <c:pt idx="3">
                  <c:v>150</c:v>
                </c:pt>
                <c:pt idx="4">
                  <c:v>250</c:v>
                </c:pt>
                <c:pt idx="5">
                  <c:v>75</c:v>
                </c:pt>
              </c:numCache>
            </c:numRef>
          </c:xVal>
          <c:yVal>
            <c:numRef>
              <c:f>Data!$CF$62:$CF$67</c:f>
              <c:numCache>
                <c:formatCode>General</c:formatCode>
                <c:ptCount val="6"/>
                <c:pt idx="0">
                  <c:v>4500</c:v>
                </c:pt>
                <c:pt idx="1">
                  <c:v>3500</c:v>
                </c:pt>
                <c:pt idx="2">
                  <c:v>2000</c:v>
                </c:pt>
                <c:pt idx="3">
                  <c:v>2750</c:v>
                </c:pt>
                <c:pt idx="4">
                  <c:v>3000</c:v>
                </c:pt>
                <c:pt idx="5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A2-47A5-AE3E-E31382353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125151"/>
        <c:axId val="1812581535"/>
      </c:scatterChart>
      <c:valAx>
        <c:axId val="178112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Backfill 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81535"/>
        <c:crosses val="autoZero"/>
        <c:crossBetween val="midCat"/>
      </c:valAx>
      <c:valAx>
        <c:axId val="18125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25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13358475831165"/>
          <c:y val="3.2608203449046941E-2"/>
          <c:w val="0.83918689271999569"/>
          <c:h val="0.84323857113980261"/>
        </c:manualLayout>
      </c:layout>
      <c:scatterChart>
        <c:scatterStyle val="lineMarker"/>
        <c:varyColors val="0"/>
        <c:ser>
          <c:idx val="0"/>
          <c:order val="0"/>
          <c:tx>
            <c:v>UHMWPE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'Polymer Metrics'!$AJ$46:$AJ$54</c:f>
              <c:numCache>
                <c:formatCode>0.000</c:formatCode>
                <c:ptCount val="9"/>
                <c:pt idx="0">
                  <c:v>3.8468608794559986</c:v>
                </c:pt>
                <c:pt idx="1">
                  <c:v>4.0910324541331855</c:v>
                </c:pt>
                <c:pt idx="2">
                  <c:v>4.6648052849631583</c:v>
                </c:pt>
                <c:pt idx="3">
                  <c:v>4.937700538535247</c:v>
                </c:pt>
                <c:pt idx="4">
                  <c:v>5.2533772123416123</c:v>
                </c:pt>
                <c:pt idx="5">
                  <c:v>5.3593337719292995</c:v>
                </c:pt>
                <c:pt idx="6">
                  <c:v>5.6122125036577604</c:v>
                </c:pt>
                <c:pt idx="7">
                  <c:v>6.3424446991147407</c:v>
                </c:pt>
              </c:numCache>
            </c:numRef>
          </c:xVal>
          <c:yVal>
            <c:numRef>
              <c:f>'Polymer Metrics'!$AK$46:$AK$54</c:f>
              <c:numCache>
                <c:formatCode>0.000</c:formatCode>
                <c:ptCount val="9"/>
                <c:pt idx="0">
                  <c:v>2.4800000000000377</c:v>
                </c:pt>
                <c:pt idx="1">
                  <c:v>2.5699999999999612</c:v>
                </c:pt>
                <c:pt idx="2">
                  <c:v>2.7899999999999592</c:v>
                </c:pt>
                <c:pt idx="3">
                  <c:v>2.9000000000000137</c:v>
                </c:pt>
                <c:pt idx="4">
                  <c:v>3.2100000000000133</c:v>
                </c:pt>
                <c:pt idx="5">
                  <c:v>3.1799999999999606</c:v>
                </c:pt>
                <c:pt idx="6">
                  <c:v>3.4100000000000241</c:v>
                </c:pt>
                <c:pt idx="7" formatCode="General">
                  <c:v>3.7000000000000366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17-461B-9090-D798490B273A}"/>
            </c:ext>
          </c:extLst>
        </c:ser>
        <c:ser>
          <c:idx val="1"/>
          <c:order val="1"/>
          <c:tx>
            <c:v>HDPE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'Polymer Metrics'!$AR$44:$AR$52</c:f>
              <c:numCache>
                <c:formatCode>0.000</c:formatCode>
                <c:ptCount val="9"/>
                <c:pt idx="0">
                  <c:v>2.484618904555874</c:v>
                </c:pt>
                <c:pt idx="1">
                  <c:v>3.487726660816199</c:v>
                </c:pt>
                <c:pt idx="2">
                  <c:v>3.8436452762810305</c:v>
                </c:pt>
                <c:pt idx="3">
                  <c:v>4.2904598407595831</c:v>
                </c:pt>
                <c:pt idx="4">
                  <c:v>4.4832956215940687</c:v>
                </c:pt>
                <c:pt idx="5">
                  <c:v>4.7892020734371457</c:v>
                </c:pt>
                <c:pt idx="7">
                  <c:v>5.470263510798711</c:v>
                </c:pt>
              </c:numCache>
            </c:numRef>
          </c:xVal>
          <c:yVal>
            <c:numRef>
              <c:f>'Polymer Metrics'!$AS$44:$AS$52</c:f>
              <c:numCache>
                <c:formatCode>0.000</c:formatCode>
                <c:ptCount val="9"/>
                <c:pt idx="0">
                  <c:v>1.0799999999999699</c:v>
                </c:pt>
                <c:pt idx="1">
                  <c:v>1.5600000000000058</c:v>
                </c:pt>
                <c:pt idx="2">
                  <c:v>1.7700000000000493</c:v>
                </c:pt>
                <c:pt idx="3">
                  <c:v>2.0000000000000018</c:v>
                </c:pt>
                <c:pt idx="4">
                  <c:v>2.1399999999999197</c:v>
                </c:pt>
                <c:pt idx="5">
                  <c:v>2.1900000000000253</c:v>
                </c:pt>
                <c:pt idx="7">
                  <c:v>2.8299999999999992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5-7D40-BE9A-B279DF22A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766927"/>
        <c:axId val="2010446079"/>
      </c:scatterChart>
      <c:valAx>
        <c:axId val="1844766927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Impact Velocity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0446079"/>
        <c:crosses val="autoZero"/>
        <c:crossBetween val="midCat"/>
      </c:valAx>
      <c:valAx>
        <c:axId val="201044607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 Mass Loss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47669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728063252580057"/>
          <c:y val="6.8999430483731E-2"/>
          <c:w val="0.24245688717022598"/>
          <c:h val="0.13363645228923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5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64476611068161"/>
          <c:y val="3.2608203449046941E-2"/>
          <c:w val="0.84567571619659221"/>
          <c:h val="0.84323857113980261"/>
        </c:manualLayout>
      </c:layout>
      <c:scatterChart>
        <c:scatterStyle val="lineMarker"/>
        <c:varyColors val="0"/>
        <c:ser>
          <c:idx val="0"/>
          <c:order val="0"/>
          <c:tx>
            <c:v>UHMWPE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'Polymer Metrics'!$AJ$46:$AJ$54</c:f>
              <c:numCache>
                <c:formatCode>0.000</c:formatCode>
                <c:ptCount val="9"/>
                <c:pt idx="0">
                  <c:v>3.8468608794559986</c:v>
                </c:pt>
                <c:pt idx="1">
                  <c:v>4.0910324541331855</c:v>
                </c:pt>
                <c:pt idx="2">
                  <c:v>4.6648052849631583</c:v>
                </c:pt>
                <c:pt idx="3">
                  <c:v>4.937700538535247</c:v>
                </c:pt>
                <c:pt idx="4">
                  <c:v>5.2533772123416123</c:v>
                </c:pt>
                <c:pt idx="5">
                  <c:v>5.3593337719292995</c:v>
                </c:pt>
                <c:pt idx="6">
                  <c:v>5.6122125036577604</c:v>
                </c:pt>
                <c:pt idx="7">
                  <c:v>6.3424446991147407</c:v>
                </c:pt>
              </c:numCache>
            </c:numRef>
          </c:xVal>
          <c:yVal>
            <c:numRef>
              <c:f>'Polymer Metrics'!$AM$46:$AM$52</c:f>
              <c:numCache>
                <c:formatCode>0.000</c:formatCode>
                <c:ptCount val="7"/>
                <c:pt idx="0">
                  <c:v>3.06</c:v>
                </c:pt>
                <c:pt idx="1">
                  <c:v>3.2469999999999999</c:v>
                </c:pt>
                <c:pt idx="2">
                  <c:v>3.35</c:v>
                </c:pt>
                <c:pt idx="3">
                  <c:v>3.7</c:v>
                </c:pt>
                <c:pt idx="4">
                  <c:v>4</c:v>
                </c:pt>
                <c:pt idx="5">
                  <c:v>4.05</c:v>
                </c:pt>
                <c:pt idx="6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2B9-95C3-A46B6FA40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766927"/>
        <c:axId val="2010446079"/>
      </c:scatterChart>
      <c:valAx>
        <c:axId val="1844766927"/>
        <c:scaling>
          <c:orientation val="minMax"/>
          <c:min val="3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Impact Velocity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0446079"/>
        <c:crosses val="autoZero"/>
        <c:crossBetween val="midCat"/>
      </c:valAx>
      <c:valAx>
        <c:axId val="2010446079"/>
        <c:scaling>
          <c:orientation val="minMax"/>
          <c:max val="4.5999999999999996"/>
          <c:min val="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 BFDC Velocity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47669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728063252580057"/>
          <c:y val="6.8999430483731E-2"/>
          <c:w val="0.27471511639041091"/>
          <c:h val="6.045395316846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5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Velocity!$C$1</c:f>
              <c:strCache>
                <c:ptCount val="1"/>
                <c:pt idx="0">
                  <c:v>Normalized Mass 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Velocity!$C$2:$C$25</c:f>
              <c:numCache>
                <c:formatCode>General</c:formatCode>
                <c:ptCount val="24"/>
                <c:pt idx="0">
                  <c:v>0.64191370707367179</c:v>
                </c:pt>
                <c:pt idx="1">
                  <c:v>0.64191370707367179</c:v>
                </c:pt>
                <c:pt idx="2">
                  <c:v>0.67273260933372458</c:v>
                </c:pt>
                <c:pt idx="3">
                  <c:v>0.67273260933372458</c:v>
                </c:pt>
                <c:pt idx="4">
                  <c:v>0.67273260933372458</c:v>
                </c:pt>
                <c:pt idx="5">
                  <c:v>0.67420017610801297</c:v>
                </c:pt>
                <c:pt idx="6">
                  <c:v>0.82242442031112417</c:v>
                </c:pt>
                <c:pt idx="7">
                  <c:v>0.84414440857059003</c:v>
                </c:pt>
                <c:pt idx="8">
                  <c:v>0.85471088934546524</c:v>
                </c:pt>
                <c:pt idx="9">
                  <c:v>0.85471088934546524</c:v>
                </c:pt>
                <c:pt idx="10">
                  <c:v>0.93278544173759903</c:v>
                </c:pt>
                <c:pt idx="11">
                  <c:v>0.93278544173759903</c:v>
                </c:pt>
                <c:pt idx="12">
                  <c:v>0.93337246844731436</c:v>
                </c:pt>
                <c:pt idx="13">
                  <c:v>0.93395949515702958</c:v>
                </c:pt>
                <c:pt idx="14">
                  <c:v>0.99236865277370112</c:v>
                </c:pt>
                <c:pt idx="15">
                  <c:v>0.99266216612855884</c:v>
                </c:pt>
                <c:pt idx="16">
                  <c:v>0.99295567948341645</c:v>
                </c:pt>
                <c:pt idx="17">
                  <c:v>0.99354270619313168</c:v>
                </c:pt>
                <c:pt idx="18">
                  <c:v>0.99383621954798951</c:v>
                </c:pt>
                <c:pt idx="19">
                  <c:v>0.99442324625770473</c:v>
                </c:pt>
                <c:pt idx="20">
                  <c:v>0.99501027296742006</c:v>
                </c:pt>
                <c:pt idx="21">
                  <c:v>0.99618432638685062</c:v>
                </c:pt>
                <c:pt idx="22">
                  <c:v>0.99647783974170823</c:v>
                </c:pt>
                <c:pt idx="23">
                  <c:v>1</c:v>
                </c:pt>
              </c:numCache>
            </c:numRef>
          </c:xVal>
          <c:yVal>
            <c:numRef>
              <c:f>Velocity!$D$2:$D$25</c:f>
              <c:numCache>
                <c:formatCode>General</c:formatCode>
                <c:ptCount val="24"/>
                <c:pt idx="0">
                  <c:v>6498.8549667434099</c:v>
                </c:pt>
                <c:pt idx="1">
                  <c:v>6663.6856298796647</c:v>
                </c:pt>
                <c:pt idx="2">
                  <c:v>4203.3</c:v>
                </c:pt>
                <c:pt idx="3">
                  <c:v>6756.7567567567576</c:v>
                </c:pt>
                <c:pt idx="4">
                  <c:v>6900</c:v>
                </c:pt>
                <c:pt idx="5">
                  <c:v>4010.6951871657757</c:v>
                </c:pt>
                <c:pt idx="6">
                  <c:v>4731.7065600001215</c:v>
                </c:pt>
                <c:pt idx="7">
                  <c:v>6060.606060606061</c:v>
                </c:pt>
                <c:pt idx="8">
                  <c:v>5757.5396420998204</c:v>
                </c:pt>
                <c:pt idx="9">
                  <c:v>4908.4218554943918</c:v>
                </c:pt>
                <c:pt idx="10">
                  <c:v>5222.0537355595861</c:v>
                </c:pt>
                <c:pt idx="11">
                  <c:v>4826.2138313883052</c:v>
                </c:pt>
                <c:pt idx="12">
                  <c:v>4515.4932896458358</c:v>
                </c:pt>
                <c:pt idx="13">
                  <c:v>6022.4547224325897</c:v>
                </c:pt>
                <c:pt idx="14">
                  <c:v>4859.8626214034184</c:v>
                </c:pt>
                <c:pt idx="15">
                  <c:v>0</c:v>
                </c:pt>
                <c:pt idx="16">
                  <c:v>5342.4595839816038</c:v>
                </c:pt>
                <c:pt idx="17">
                  <c:v>4676.4484562552625</c:v>
                </c:pt>
                <c:pt idx="18">
                  <c:v>4297.5894462663437</c:v>
                </c:pt>
                <c:pt idx="19">
                  <c:v>5495.5123005410678</c:v>
                </c:pt>
                <c:pt idx="20">
                  <c:v>5229.5277194341643</c:v>
                </c:pt>
                <c:pt idx="21">
                  <c:v>4361.532740885018</c:v>
                </c:pt>
                <c:pt idx="22">
                  <c:v>5206.9860256991833</c:v>
                </c:pt>
                <c:pt idx="23">
                  <c:v>5404.5498310843977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E-4499-96B2-B61909F6A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440463"/>
        <c:axId val="1639483743"/>
      </c:scatterChart>
      <c:scatterChart>
        <c:scatterStyle val="lineMarker"/>
        <c:varyColors val="0"/>
        <c:ser>
          <c:idx val="1"/>
          <c:order val="1"/>
          <c:tx>
            <c:strRef>
              <c:f>Velocity!$E$1</c:f>
              <c:strCache>
                <c:ptCount val="1"/>
                <c:pt idx="0">
                  <c:v>Target Tank Pressure (Torr)</c:v>
                </c:pt>
              </c:strCache>
            </c:strRef>
          </c:tx>
          <c:spPr>
            <a:ln w="9525" cap="rnd">
              <a:noFill/>
              <a:prstDash val="dash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Velocity!$C$2:$C$25</c:f>
              <c:numCache>
                <c:formatCode>General</c:formatCode>
                <c:ptCount val="24"/>
                <c:pt idx="0">
                  <c:v>0.64191370707367179</c:v>
                </c:pt>
                <c:pt idx="1">
                  <c:v>0.64191370707367179</c:v>
                </c:pt>
                <c:pt idx="2">
                  <c:v>0.67273260933372458</c:v>
                </c:pt>
                <c:pt idx="3">
                  <c:v>0.67273260933372458</c:v>
                </c:pt>
                <c:pt idx="4">
                  <c:v>0.67273260933372458</c:v>
                </c:pt>
                <c:pt idx="5">
                  <c:v>0.67420017610801297</c:v>
                </c:pt>
                <c:pt idx="6">
                  <c:v>0.82242442031112417</c:v>
                </c:pt>
                <c:pt idx="7">
                  <c:v>0.84414440857059003</c:v>
                </c:pt>
                <c:pt idx="8">
                  <c:v>0.85471088934546524</c:v>
                </c:pt>
                <c:pt idx="9">
                  <c:v>0.85471088934546524</c:v>
                </c:pt>
                <c:pt idx="10">
                  <c:v>0.93278544173759903</c:v>
                </c:pt>
                <c:pt idx="11">
                  <c:v>0.93278544173759903</c:v>
                </c:pt>
                <c:pt idx="12">
                  <c:v>0.93337246844731436</c:v>
                </c:pt>
                <c:pt idx="13">
                  <c:v>0.93395949515702958</c:v>
                </c:pt>
                <c:pt idx="14">
                  <c:v>0.99236865277370112</c:v>
                </c:pt>
                <c:pt idx="15">
                  <c:v>0.99266216612855884</c:v>
                </c:pt>
                <c:pt idx="16">
                  <c:v>0.99295567948341645</c:v>
                </c:pt>
                <c:pt idx="17">
                  <c:v>0.99354270619313168</c:v>
                </c:pt>
                <c:pt idx="18">
                  <c:v>0.99383621954798951</c:v>
                </c:pt>
                <c:pt idx="19">
                  <c:v>0.99442324625770473</c:v>
                </c:pt>
                <c:pt idx="20">
                  <c:v>0.99501027296742006</c:v>
                </c:pt>
                <c:pt idx="21">
                  <c:v>0.99618432638685062</c:v>
                </c:pt>
                <c:pt idx="22">
                  <c:v>0.99647783974170823</c:v>
                </c:pt>
                <c:pt idx="23">
                  <c:v>1</c:v>
                </c:pt>
              </c:numCache>
            </c:numRef>
          </c:xVal>
          <c:yVal>
            <c:numRef>
              <c:f>Velocity!$E$2:$E$25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298</c:v>
                </c:pt>
                <c:pt idx="3">
                  <c:v>251</c:v>
                </c:pt>
                <c:pt idx="4">
                  <c:v>200</c:v>
                </c:pt>
                <c:pt idx="5">
                  <c:v>250</c:v>
                </c:pt>
                <c:pt idx="6">
                  <c:v>1</c:v>
                </c:pt>
                <c:pt idx="7">
                  <c:v>175</c:v>
                </c:pt>
                <c:pt idx="8">
                  <c:v>1</c:v>
                </c:pt>
                <c:pt idx="9">
                  <c:v>250</c:v>
                </c:pt>
                <c:pt idx="10">
                  <c:v>1</c:v>
                </c:pt>
                <c:pt idx="11">
                  <c:v>198</c:v>
                </c:pt>
                <c:pt idx="12">
                  <c:v>198</c:v>
                </c:pt>
                <c:pt idx="13">
                  <c:v>1</c:v>
                </c:pt>
                <c:pt idx="14">
                  <c:v>210</c:v>
                </c:pt>
                <c:pt idx="15">
                  <c:v>210</c:v>
                </c:pt>
                <c:pt idx="16">
                  <c:v>199</c:v>
                </c:pt>
                <c:pt idx="17">
                  <c:v>210</c:v>
                </c:pt>
                <c:pt idx="18">
                  <c:v>200</c:v>
                </c:pt>
                <c:pt idx="19">
                  <c:v>175</c:v>
                </c:pt>
                <c:pt idx="20">
                  <c:v>200</c:v>
                </c:pt>
                <c:pt idx="21">
                  <c:v>157</c:v>
                </c:pt>
                <c:pt idx="22">
                  <c:v>252</c:v>
                </c:pt>
                <c:pt idx="23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E-4499-96B2-B61909F6A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591487"/>
        <c:axId val="1639578175"/>
      </c:scatterChart>
      <c:valAx>
        <c:axId val="1853440463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83743"/>
        <c:crosses val="autoZero"/>
        <c:crossBetween val="midCat"/>
      </c:valAx>
      <c:valAx>
        <c:axId val="1639483743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40463"/>
        <c:crosses val="autoZero"/>
        <c:crossBetween val="midCat"/>
      </c:valAx>
      <c:valAx>
        <c:axId val="16395781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91487"/>
        <c:crosses val="max"/>
        <c:crossBetween val="midCat"/>
      </c:valAx>
      <c:valAx>
        <c:axId val="1639591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957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306924837269092E-2"/>
          <c:y val="3.2608203449046941E-2"/>
          <c:w val="0.86101352072356696"/>
          <c:h val="0.84323857113980261"/>
        </c:manualLayout>
      </c:layout>
      <c:scatterChart>
        <c:scatterStyle val="lineMarker"/>
        <c:varyColors val="0"/>
        <c:ser>
          <c:idx val="0"/>
          <c:order val="0"/>
          <c:tx>
            <c:v>UHMWPE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('Polymer Hole Size'!$G$2:$G$16,'Polymer Hole Size'!$G$26,'Polymer Hole Size'!$G$28)</c:f>
              <c:numCache>
                <c:formatCode>0.0000</c:formatCode>
                <c:ptCount val="17"/>
                <c:pt idx="0">
                  <c:v>6.756756756756757</c:v>
                </c:pt>
                <c:pt idx="1">
                  <c:v>6.3424947145877377</c:v>
                </c:pt>
                <c:pt idx="2">
                  <c:v>5.8593749999999991</c:v>
                </c:pt>
                <c:pt idx="3">
                  <c:v>5.5248618784530388</c:v>
                </c:pt>
                <c:pt idx="4">
                  <c:v>5.1813471502590671</c:v>
                </c:pt>
                <c:pt idx="5">
                  <c:v>4.3668122270742353</c:v>
                </c:pt>
                <c:pt idx="6">
                  <c:v>3.7783375314861454</c:v>
                </c:pt>
                <c:pt idx="7">
                  <c:v>2.9382957884427032</c:v>
                </c:pt>
                <c:pt idx="8">
                  <c:v>2.0920502092050204</c:v>
                </c:pt>
                <c:pt idx="9">
                  <c:v>2.9673590504451042</c:v>
                </c:pt>
                <c:pt idx="10">
                  <c:v>4.160887656033287</c:v>
                </c:pt>
                <c:pt idx="11">
                  <c:v>6.3829787234042552</c:v>
                </c:pt>
                <c:pt idx="12">
                  <c:v>3.6101083032490973</c:v>
                </c:pt>
                <c:pt idx="13">
                  <c:v>5.1635111876075728</c:v>
                </c:pt>
                <c:pt idx="14">
                  <c:v>5.8479532163742691</c:v>
                </c:pt>
                <c:pt idx="15">
                  <c:v>4.8598626214034182</c:v>
                </c:pt>
                <c:pt idx="16">
                  <c:v>5.404549831084398</c:v>
                </c:pt>
              </c:numCache>
            </c:numRef>
          </c:xVal>
          <c:yVal>
            <c:numRef>
              <c:f>('Polymer Hole Size'!$H$2:$H$16,'Polymer Hole Size'!$H$26,'Polymer Hole Size'!$H$28)</c:f>
              <c:numCache>
                <c:formatCode>0.0000</c:formatCode>
                <c:ptCount val="17"/>
                <c:pt idx="0">
                  <c:v>3.20675</c:v>
                </c:pt>
                <c:pt idx="1">
                  <c:v>3.0479999999999996</c:v>
                </c:pt>
                <c:pt idx="2">
                  <c:v>2.8574999999999999</c:v>
                </c:pt>
                <c:pt idx="3">
                  <c:v>2.794</c:v>
                </c:pt>
                <c:pt idx="4">
                  <c:v>2.5717500000000002</c:v>
                </c:pt>
                <c:pt idx="5">
                  <c:v>2.1590000000000003</c:v>
                </c:pt>
                <c:pt idx="6">
                  <c:v>1.9049999999999998</c:v>
                </c:pt>
                <c:pt idx="7">
                  <c:v>1.5239999999999998</c:v>
                </c:pt>
                <c:pt idx="8">
                  <c:v>1.1620499999999998</c:v>
                </c:pt>
                <c:pt idx="9">
                  <c:v>2.0274999999999999</c:v>
                </c:pt>
                <c:pt idx="10">
                  <c:v>2.453125</c:v>
                </c:pt>
                <c:pt idx="11">
                  <c:v>2.8487500000000003</c:v>
                </c:pt>
                <c:pt idx="12">
                  <c:v>1.9718750000000003</c:v>
                </c:pt>
                <c:pt idx="13">
                  <c:v>2.1950000000000003</c:v>
                </c:pt>
                <c:pt idx="14">
                  <c:v>2.421875</c:v>
                </c:pt>
                <c:pt idx="15">
                  <c:v>2.1</c:v>
                </c:pt>
                <c:pt idx="16">
                  <c:v>2.2399999999999998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B9-1743-A8F8-12A5714D3F70}"/>
            </c:ext>
          </c:extLst>
        </c:ser>
        <c:ser>
          <c:idx val="1"/>
          <c:order val="1"/>
          <c:tx>
            <c:v>HDPE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5B9-1743-A8F8-12A5714D3F70}"/>
              </c:ext>
            </c:extLst>
          </c:dPt>
          <c:dPt>
            <c:idx val="6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5B9-1743-A8F8-12A5714D3F70}"/>
              </c:ext>
            </c:extLst>
          </c:dPt>
          <c:dPt>
            <c:idx val="7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5B9-1743-A8F8-12A5714D3F70}"/>
              </c:ext>
            </c:extLst>
          </c:dPt>
          <c:dPt>
            <c:idx val="8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5B9-1743-A8F8-12A5714D3F70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5B9-1743-A8F8-12A5714D3F70}"/>
              </c:ext>
            </c:extLst>
          </c:dPt>
          <c:xVal>
            <c:numRef>
              <c:f>('Polymer Hole Size'!$G$17:$G$20,'Polymer Hole Size'!$G$23,'Polymer Hole Size'!$G$25,'Polymer Hole Size'!$G$31)</c:f>
              <c:numCache>
                <c:formatCode>0.0000</c:formatCode>
                <c:ptCount val="7"/>
                <c:pt idx="0">
                  <c:v>3.3898305084745761</c:v>
                </c:pt>
                <c:pt idx="1">
                  <c:v>4.5662100456620998</c:v>
                </c:pt>
                <c:pt idx="2">
                  <c:v>6.0728744939271255</c:v>
                </c:pt>
                <c:pt idx="3">
                  <c:v>2.9910269192422727</c:v>
                </c:pt>
                <c:pt idx="4">
                  <c:v>6.4988549667434103</c:v>
                </c:pt>
                <c:pt idx="5">
                  <c:v>5.2069860256991829</c:v>
                </c:pt>
                <c:pt idx="6">
                  <c:v>6.663685629879665</c:v>
                </c:pt>
              </c:numCache>
            </c:numRef>
          </c:xVal>
          <c:yVal>
            <c:numRef>
              <c:f>('Polymer Hole Size'!$H$17:$H$20,'Polymer Hole Size'!$H$23,'Polymer Hole Size'!$H$25,'Polymer Hole Size'!$H$31)</c:f>
              <c:numCache>
                <c:formatCode>0.0000</c:formatCode>
                <c:ptCount val="7"/>
                <c:pt idx="0">
                  <c:v>2.5656249999999998</c:v>
                </c:pt>
                <c:pt idx="1">
                  <c:v>3.0212500000000002</c:v>
                </c:pt>
                <c:pt idx="2">
                  <c:v>3.2681250000000004</c:v>
                </c:pt>
                <c:pt idx="3">
                  <c:v>1.994375</c:v>
                </c:pt>
                <c:pt idx="4">
                  <c:v>3.63</c:v>
                </c:pt>
                <c:pt idx="5">
                  <c:v>3.05</c:v>
                </c:pt>
                <c:pt idx="6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B9-1743-A8F8-12A5714D3F70}"/>
            </c:ext>
          </c:extLst>
        </c:ser>
        <c:ser>
          <c:idx val="2"/>
          <c:order val="2"/>
          <c:tx>
            <c:v>HDPE @ 60 deg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'Polymer Hole Size'!$G$32:$G$33</c:f>
              <c:numCache>
                <c:formatCode>0.0000</c:formatCode>
                <c:ptCount val="2"/>
                <c:pt idx="0">
                  <c:v>5.2295277194341647</c:v>
                </c:pt>
                <c:pt idx="1">
                  <c:v>5.3424595839816043</c:v>
                </c:pt>
              </c:numCache>
            </c:numRef>
          </c:xVal>
          <c:yVal>
            <c:numRef>
              <c:f>'Polymer Hole Size'!$H$32:$H$33</c:f>
              <c:numCache>
                <c:formatCode>0.0000</c:formatCode>
                <c:ptCount val="2"/>
                <c:pt idx="0">
                  <c:v>4.4000000000000004</c:v>
                </c:pt>
                <c:pt idx="1">
                  <c:v>4.7700000000000005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5B9-1743-A8F8-12A5714D3F70}"/>
            </c:ext>
          </c:extLst>
        </c:ser>
        <c:ser>
          <c:idx val="3"/>
          <c:order val="3"/>
          <c:tx>
            <c:v>HDPE @ 30 deg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'Polymer Hole Size'!$G$34</c:f>
              <c:numCache>
                <c:formatCode>0.0000</c:formatCode>
                <c:ptCount val="1"/>
                <c:pt idx="0">
                  <c:v>4.4402157802782316</c:v>
                </c:pt>
              </c:numCache>
            </c:numRef>
          </c:xVal>
          <c:yVal>
            <c:numRef>
              <c:f>'Polymer Hole Size'!$H$34</c:f>
              <c:numCache>
                <c:formatCode>0.0000</c:formatCode>
                <c:ptCount val="1"/>
                <c:pt idx="0">
                  <c:v>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5B9-1743-A8F8-12A5714D3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766927"/>
        <c:axId val="2010446079"/>
      </c:scatterChart>
      <c:valAx>
        <c:axId val="1844766927"/>
        <c:scaling>
          <c:orientation val="minMax"/>
          <c:max val="7"/>
          <c:min val="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Impact Velocity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0446079"/>
        <c:crosses val="autoZero"/>
        <c:crossBetween val="midCat"/>
      </c:valAx>
      <c:valAx>
        <c:axId val="201044607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Normalized Hole Diameter (D/d)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47669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25157420486209"/>
          <c:y val="0.69049399769082331"/>
          <c:w val="0.21524802441524188"/>
          <c:h val="0.1584545774417367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306924837269092E-2"/>
          <c:y val="3.2608203449046941E-2"/>
          <c:w val="0.86101352072356696"/>
          <c:h val="0.84323857113980261"/>
        </c:manualLayout>
      </c:layout>
      <c:scatterChart>
        <c:scatterStyle val="lineMarker"/>
        <c:varyColors val="0"/>
        <c:ser>
          <c:idx val="0"/>
          <c:order val="0"/>
          <c:tx>
            <c:v>UHMWPE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('Polymer Hole Size'!$G$2:$G$16,'Polymer Hole Size'!$G$26,'Polymer Hole Size'!$G$28)</c:f>
              <c:numCache>
                <c:formatCode>0.0000</c:formatCode>
                <c:ptCount val="17"/>
                <c:pt idx="0">
                  <c:v>6.756756756756757</c:v>
                </c:pt>
                <c:pt idx="1">
                  <c:v>6.3424947145877377</c:v>
                </c:pt>
                <c:pt idx="2">
                  <c:v>5.8593749999999991</c:v>
                </c:pt>
                <c:pt idx="3">
                  <c:v>5.5248618784530388</c:v>
                </c:pt>
                <c:pt idx="4">
                  <c:v>5.1813471502590671</c:v>
                </c:pt>
                <c:pt idx="5">
                  <c:v>4.3668122270742353</c:v>
                </c:pt>
                <c:pt idx="6">
                  <c:v>3.7783375314861454</c:v>
                </c:pt>
                <c:pt idx="7">
                  <c:v>2.9382957884427032</c:v>
                </c:pt>
                <c:pt idx="8">
                  <c:v>2.0920502092050204</c:v>
                </c:pt>
                <c:pt idx="9">
                  <c:v>2.9673590504451042</c:v>
                </c:pt>
                <c:pt idx="10">
                  <c:v>4.160887656033287</c:v>
                </c:pt>
                <c:pt idx="11">
                  <c:v>6.3829787234042552</c:v>
                </c:pt>
                <c:pt idx="12">
                  <c:v>3.6101083032490973</c:v>
                </c:pt>
                <c:pt idx="13">
                  <c:v>5.1635111876075728</c:v>
                </c:pt>
                <c:pt idx="14">
                  <c:v>5.8479532163742691</c:v>
                </c:pt>
                <c:pt idx="15">
                  <c:v>4.8598626214034182</c:v>
                </c:pt>
                <c:pt idx="16">
                  <c:v>5.404549831084398</c:v>
                </c:pt>
              </c:numCache>
            </c:numRef>
          </c:xVal>
          <c:yVal>
            <c:numRef>
              <c:f>('Polymer Hole Size'!$J$2:$J$16,'Polymer Hole Size'!$J$26,'Polymer Hole Size'!$J$28)</c:f>
              <c:numCache>
                <c:formatCode>0.0000</c:formatCode>
                <c:ptCount val="17"/>
                <c:pt idx="0">
                  <c:v>8.0764353566735938</c:v>
                </c:pt>
                <c:pt idx="1">
                  <c:v>7.2965815358399979</c:v>
                </c:pt>
                <c:pt idx="2">
                  <c:v>6.413011115484375</c:v>
                </c:pt>
                <c:pt idx="3">
                  <c:v>6.1311553183100003</c:v>
                </c:pt>
                <c:pt idx="4">
                  <c:v>5.1945390035423449</c:v>
                </c:pt>
                <c:pt idx="5">
                  <c:v>3.6609584441975005</c:v>
                </c:pt>
                <c:pt idx="6">
                  <c:v>2.8502271624374993</c:v>
                </c:pt>
                <c:pt idx="7">
                  <c:v>1.8241453839599995</c:v>
                </c:pt>
                <c:pt idx="8">
                  <c:v>1.0605695271429934</c:v>
                </c:pt>
                <c:pt idx="9">
                  <c:v>3.2285776818593748</c:v>
                </c:pt>
                <c:pt idx="10">
                  <c:v>4.7263825628662106</c:v>
                </c:pt>
                <c:pt idx="11">
                  <c:v>6.3737964637460944</c:v>
                </c:pt>
                <c:pt idx="12">
                  <c:v>3.0538540429443368</c:v>
                </c:pt>
                <c:pt idx="13">
                  <c:v>3.7840647899375011</c:v>
                </c:pt>
                <c:pt idx="14">
                  <c:v>4.6067321624755859</c:v>
                </c:pt>
                <c:pt idx="15">
                  <c:v>3.3646428899999994</c:v>
                </c:pt>
                <c:pt idx="16">
                  <c:v>3.6593240319999993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6-0D48-807A-F16AA462C9AE}"/>
            </c:ext>
          </c:extLst>
        </c:ser>
        <c:ser>
          <c:idx val="1"/>
          <c:order val="1"/>
          <c:tx>
            <c:v>HDPE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1F6-0D48-807A-F16AA462C9AE}"/>
              </c:ext>
            </c:extLst>
          </c:dPt>
          <c:dPt>
            <c:idx val="6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1F6-0D48-807A-F16AA462C9AE}"/>
              </c:ext>
            </c:extLst>
          </c:dPt>
          <c:xVal>
            <c:numRef>
              <c:f>('Polymer Hole Size'!$G$17:$G$20,'Polymer Hole Size'!$G$23,'Polymer Hole Size'!$G$25,'Polymer Hole Size'!$G$31)</c:f>
              <c:numCache>
                <c:formatCode>0.0000</c:formatCode>
                <c:ptCount val="7"/>
                <c:pt idx="0">
                  <c:v>3.3898305084745761</c:v>
                </c:pt>
                <c:pt idx="1">
                  <c:v>4.5662100456620998</c:v>
                </c:pt>
                <c:pt idx="2">
                  <c:v>6.0728744939271255</c:v>
                </c:pt>
                <c:pt idx="3">
                  <c:v>2.9910269192422727</c:v>
                </c:pt>
                <c:pt idx="4">
                  <c:v>6.4988549667434103</c:v>
                </c:pt>
                <c:pt idx="5">
                  <c:v>5.2069860256991829</c:v>
                </c:pt>
                <c:pt idx="6">
                  <c:v>6.663685629879665</c:v>
                </c:pt>
              </c:numCache>
            </c:numRef>
          </c:xVal>
          <c:yVal>
            <c:numRef>
              <c:f>('Polymer Hole Size'!$J$17:$J$20,'Polymer Hole Size'!$J$23,'Polymer Hole Size'!$J$25,'Polymer Hole Size'!$J$31)</c:f>
              <c:numCache>
                <c:formatCode>0.0000</c:formatCode>
                <c:ptCount val="7"/>
                <c:pt idx="0">
                  <c:v>5.1698253544677728</c:v>
                </c:pt>
                <c:pt idx="1">
                  <c:v>7.1690703373085949</c:v>
                </c:pt>
                <c:pt idx="2">
                  <c:v>8.3885487520693385</c:v>
                </c:pt>
                <c:pt idx="3">
                  <c:v>3.1239434067177734</c:v>
                </c:pt>
                <c:pt idx="4">
                  <c:v>10.263574529999998</c:v>
                </c:pt>
                <c:pt idx="5">
                  <c:v>7.2582509962500001</c:v>
                </c:pt>
                <c:pt idx="6">
                  <c:v>10.15047729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F6-0D48-807A-F16AA462C9AE}"/>
            </c:ext>
          </c:extLst>
        </c:ser>
        <c:ser>
          <c:idx val="2"/>
          <c:order val="2"/>
          <c:tx>
            <c:v>HDPE @ 60 deg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'Polymer Hole Size'!$G$32:$G$33</c:f>
              <c:numCache>
                <c:formatCode>0.0000</c:formatCode>
                <c:ptCount val="2"/>
                <c:pt idx="0">
                  <c:v>5.2295277194341647</c:v>
                </c:pt>
                <c:pt idx="1">
                  <c:v>5.3424595839816043</c:v>
                </c:pt>
              </c:numCache>
            </c:numRef>
          </c:xVal>
          <c:yVal>
            <c:numRef>
              <c:f>'Polymer Hole Size'!$J$32:$J$33</c:f>
              <c:numCache>
                <c:formatCode>0.0000</c:formatCode>
                <c:ptCount val="2"/>
                <c:pt idx="0">
                  <c:v>12.095121499999999</c:v>
                </c:pt>
                <c:pt idx="1">
                  <c:v>12.924893958750001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F6-0D48-807A-F16AA462C9AE}"/>
            </c:ext>
          </c:extLst>
        </c:ser>
        <c:ser>
          <c:idx val="3"/>
          <c:order val="3"/>
          <c:tx>
            <c:v>HDPE @ 30 deg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'Polymer Hole Size'!$G$34</c:f>
              <c:numCache>
                <c:formatCode>0.0000</c:formatCode>
                <c:ptCount val="1"/>
                <c:pt idx="0">
                  <c:v>4.4402157802782316</c:v>
                </c:pt>
              </c:numCache>
            </c:numRef>
          </c:xVal>
          <c:yVal>
            <c:numRef>
              <c:f>'Polymer Hole Size'!$J$34</c:f>
              <c:numCache>
                <c:formatCode>0.0000</c:formatCode>
                <c:ptCount val="1"/>
                <c:pt idx="0">
                  <c:v>7.1062765800000003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1F6-0D48-807A-F16AA462C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766927"/>
        <c:axId val="2010446079"/>
      </c:scatterChart>
      <c:valAx>
        <c:axId val="1844766927"/>
        <c:scaling>
          <c:orientation val="minMax"/>
          <c:max val="7"/>
          <c:min val="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Impact Velocity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0446079"/>
        <c:crosses val="autoZero"/>
        <c:crossBetween val="midCat"/>
      </c:valAx>
      <c:valAx>
        <c:axId val="2010446079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Normalized Hole Area (A</a:t>
                </a:r>
                <a:r>
                  <a:rPr lang="en-US" baseline="-25000"/>
                  <a:t>hole</a:t>
                </a:r>
                <a:r>
                  <a:rPr lang="en-US"/>
                  <a:t>/d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4766927"/>
        <c:crosses val="autoZero"/>
        <c:crossBetween val="midCat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320183465410094"/>
          <c:y val="0.69318973348696999"/>
          <c:w val="0.2107343850705117"/>
          <c:h val="0.1566048303014305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306924837269092E-2"/>
          <c:y val="3.2608203449046941E-2"/>
          <c:w val="0.86101352072356696"/>
          <c:h val="0.84323857113980261"/>
        </c:manualLayout>
      </c:layout>
      <c:scatterChart>
        <c:scatterStyle val="lineMarker"/>
        <c:varyColors val="0"/>
        <c:ser>
          <c:idx val="0"/>
          <c:order val="0"/>
          <c:tx>
            <c:v>UHMWPE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('Polymer Hole Size'!$G$2:$G$16,'Polymer Hole Size'!$G$26,'Polymer Hole Size'!$G$28)</c:f>
              <c:numCache>
                <c:formatCode>0.0000</c:formatCode>
                <c:ptCount val="17"/>
                <c:pt idx="0">
                  <c:v>6.756756756756757</c:v>
                </c:pt>
                <c:pt idx="1">
                  <c:v>6.3424947145877377</c:v>
                </c:pt>
                <c:pt idx="2">
                  <c:v>5.8593749999999991</c:v>
                </c:pt>
                <c:pt idx="3">
                  <c:v>5.5248618784530388</c:v>
                </c:pt>
                <c:pt idx="4">
                  <c:v>5.1813471502590671</c:v>
                </c:pt>
                <c:pt idx="5">
                  <c:v>4.3668122270742353</c:v>
                </c:pt>
                <c:pt idx="6">
                  <c:v>3.7783375314861454</c:v>
                </c:pt>
                <c:pt idx="7">
                  <c:v>2.9382957884427032</c:v>
                </c:pt>
                <c:pt idx="8">
                  <c:v>2.0920502092050204</c:v>
                </c:pt>
                <c:pt idx="9">
                  <c:v>2.9673590504451042</c:v>
                </c:pt>
                <c:pt idx="10">
                  <c:v>4.160887656033287</c:v>
                </c:pt>
                <c:pt idx="11">
                  <c:v>6.3829787234042552</c:v>
                </c:pt>
                <c:pt idx="12">
                  <c:v>3.6101083032490973</c:v>
                </c:pt>
                <c:pt idx="13">
                  <c:v>5.1635111876075728</c:v>
                </c:pt>
                <c:pt idx="14">
                  <c:v>5.8479532163742691</c:v>
                </c:pt>
                <c:pt idx="15">
                  <c:v>4.8598626214034182</c:v>
                </c:pt>
                <c:pt idx="16">
                  <c:v>5.404549831084398</c:v>
                </c:pt>
              </c:numCache>
            </c:numRef>
          </c:xVal>
          <c:yVal>
            <c:numRef>
              <c:f>('Polymer Hole Size'!$K$2:$K$16,'Polymer Hole Size'!$K$26:$K$28)</c:f>
              <c:numCache>
                <c:formatCode>0.0000</c:formatCode>
                <c:ptCount val="17"/>
                <c:pt idx="0">
                  <c:v>32.305741426694375</c:v>
                </c:pt>
                <c:pt idx="1">
                  <c:v>29.186326143359992</c:v>
                </c:pt>
                <c:pt idx="2">
                  <c:v>25.6520444619375</c:v>
                </c:pt>
                <c:pt idx="3">
                  <c:v>24.524621273240001</c:v>
                </c:pt>
                <c:pt idx="4">
                  <c:v>20.77815601416938</c:v>
                </c:pt>
                <c:pt idx="5">
                  <c:v>14.643833776790002</c:v>
                </c:pt>
                <c:pt idx="6">
                  <c:v>11.400908649749997</c:v>
                </c:pt>
                <c:pt idx="7">
                  <c:v>7.2965815358399979</c:v>
                </c:pt>
                <c:pt idx="8">
                  <c:v>4.2422781085719734</c:v>
                </c:pt>
                <c:pt idx="9">
                  <c:v>12.914310727437499</c:v>
                </c:pt>
                <c:pt idx="10">
                  <c:v>18.905530251464842</c:v>
                </c:pt>
                <c:pt idx="11">
                  <c:v>25.495185854984378</c:v>
                </c:pt>
                <c:pt idx="12">
                  <c:v>12.215416171777347</c:v>
                </c:pt>
                <c:pt idx="13">
                  <c:v>15.136259159750004</c:v>
                </c:pt>
                <c:pt idx="14">
                  <c:v>18.426928649902344</c:v>
                </c:pt>
                <c:pt idx="15">
                  <c:v>11.58045051825</c:v>
                </c:pt>
                <c:pt idx="16">
                  <c:v>12.628563481999997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D-5343-97AF-B3A2D86DB2BA}"/>
            </c:ext>
          </c:extLst>
        </c:ser>
        <c:ser>
          <c:idx val="1"/>
          <c:order val="1"/>
          <c:tx>
            <c:v>HDPE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ECD-5343-97AF-B3A2D86DB2BA}"/>
              </c:ext>
            </c:extLst>
          </c:dPt>
          <c:dPt>
            <c:idx val="5"/>
            <c:marker>
              <c:symbol val="circle"/>
              <c:size val="5"/>
              <c:spPr>
                <a:noFill/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ECD-5343-97AF-B3A2D86DB2BA}"/>
              </c:ext>
            </c:extLst>
          </c:dPt>
          <c:dPt>
            <c:idx val="6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ECD-5343-97AF-B3A2D86DB2BA}"/>
              </c:ext>
            </c:extLst>
          </c:dPt>
          <c:xVal>
            <c:numRef>
              <c:f>('Polymer Hole Size'!$G$17:$G$20,'Polymer Hole Size'!$G$23,'Polymer Hole Size'!$G$25,'Polymer Hole Size'!$G$31)</c:f>
              <c:numCache>
                <c:formatCode>0.0000</c:formatCode>
                <c:ptCount val="7"/>
                <c:pt idx="0">
                  <c:v>3.3898305084745761</c:v>
                </c:pt>
                <c:pt idx="1">
                  <c:v>4.5662100456620998</c:v>
                </c:pt>
                <c:pt idx="2">
                  <c:v>6.0728744939271255</c:v>
                </c:pt>
                <c:pt idx="3">
                  <c:v>2.9910269192422727</c:v>
                </c:pt>
                <c:pt idx="4">
                  <c:v>6.4988549667434103</c:v>
                </c:pt>
                <c:pt idx="5">
                  <c:v>5.2069860256991829</c:v>
                </c:pt>
                <c:pt idx="6">
                  <c:v>6.663685629879665</c:v>
                </c:pt>
              </c:numCache>
            </c:numRef>
          </c:xVal>
          <c:yVal>
            <c:numRef>
              <c:f>('Polymer Hole Size'!$K$17:$K$25,'Polymer Hole Size'!$K$31)</c:f>
              <c:numCache>
                <c:formatCode>0.0000</c:formatCode>
                <c:ptCount val="7"/>
                <c:pt idx="0">
                  <c:v>20.679301417871091</c:v>
                </c:pt>
                <c:pt idx="1">
                  <c:v>28.67628134923438</c:v>
                </c:pt>
                <c:pt idx="2">
                  <c:v>33.554195008277354</c:v>
                </c:pt>
                <c:pt idx="3">
                  <c:v>12.495773626871093</c:v>
                </c:pt>
                <c:pt idx="4">
                  <c:v>16.081485050999998</c:v>
                </c:pt>
                <c:pt idx="5">
                  <c:v>12.660764779500003</c:v>
                </c:pt>
                <c:pt idx="6">
                  <c:v>15.9396422625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D-5343-97AF-B3A2D86DB2BA}"/>
            </c:ext>
          </c:extLst>
        </c:ser>
        <c:ser>
          <c:idx val="2"/>
          <c:order val="2"/>
          <c:tx>
            <c:v>HDPE @ 60 deg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'Polymer Hole Size'!$G$32:$G$33</c:f>
              <c:numCache>
                <c:formatCode>0.0000</c:formatCode>
                <c:ptCount val="2"/>
                <c:pt idx="0">
                  <c:v>5.2295277194341647</c:v>
                </c:pt>
                <c:pt idx="1">
                  <c:v>5.3424595839816043</c:v>
                </c:pt>
              </c:numCache>
            </c:numRef>
          </c:xVal>
          <c:yVal>
            <c:numRef>
              <c:f>'Polymer Hole Size'!$K$32:$K$33</c:f>
              <c:numCache>
                <c:formatCode>0.0000</c:formatCode>
                <c:ptCount val="2"/>
                <c:pt idx="0">
                  <c:v>18.287823707999998</c:v>
                </c:pt>
                <c:pt idx="1">
                  <c:v>19.024055324500001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CD-5343-97AF-B3A2D86DB2BA}"/>
            </c:ext>
          </c:extLst>
        </c:ser>
        <c:ser>
          <c:idx val="3"/>
          <c:order val="3"/>
          <c:tx>
            <c:v>HDPE @ 30 deg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'Polymer Hole Size'!$G$34</c:f>
              <c:numCache>
                <c:formatCode>0.0000</c:formatCode>
                <c:ptCount val="1"/>
                <c:pt idx="0">
                  <c:v>4.4402157802782316</c:v>
                </c:pt>
              </c:numCache>
            </c:numRef>
          </c:xVal>
          <c:yVal>
            <c:numRef>
              <c:f>'Polymer Hole Size'!$K$34</c:f>
              <c:numCache>
                <c:formatCode>0.0000</c:formatCode>
                <c:ptCount val="1"/>
                <c:pt idx="0">
                  <c:v>11.538745911000001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CD-5343-97AF-B3A2D86DB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766927"/>
        <c:axId val="2010446079"/>
      </c:scatterChart>
      <c:valAx>
        <c:axId val="1844766927"/>
        <c:scaling>
          <c:orientation val="minMax"/>
          <c:max val="7"/>
          <c:min val="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Impact Velocity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0446079"/>
        <c:crosses val="autoZero"/>
        <c:crossBetween val="midCat"/>
      </c:valAx>
      <c:valAx>
        <c:axId val="2010446079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Normalized Damage Area (A</a:t>
                </a:r>
                <a:r>
                  <a:rPr lang="en-US" baseline="-25000"/>
                  <a:t>damage</a:t>
                </a:r>
                <a:r>
                  <a:rPr lang="en-US"/>
                  <a:t>/d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4766927"/>
        <c:crosses val="autoZero"/>
        <c:crossBetween val="midCat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320183465410094"/>
          <c:y val="0.69318973348696999"/>
          <c:w val="0.2107343850705117"/>
          <c:h val="0.1566048303014305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306924837269092E-2"/>
          <c:y val="3.2608203449046941E-2"/>
          <c:w val="0.86101352072356696"/>
          <c:h val="0.84323857113980261"/>
        </c:manualLayout>
      </c:layout>
      <c:scatterChart>
        <c:scatterStyle val="lineMarker"/>
        <c:varyColors val="0"/>
        <c:ser>
          <c:idx val="0"/>
          <c:order val="0"/>
          <c:tx>
            <c:v>HDPE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('Polymer Hole Size'!$G$23:$G$25,'Polymer Hole Size'!$G$31:$G$34)</c:f>
              <c:numCache>
                <c:formatCode>0.0000</c:formatCode>
                <c:ptCount val="6"/>
                <c:pt idx="0">
                  <c:v>6.4988549667434103</c:v>
                </c:pt>
                <c:pt idx="1">
                  <c:v>5.2069860256991829</c:v>
                </c:pt>
                <c:pt idx="2">
                  <c:v>6.663685629879665</c:v>
                </c:pt>
                <c:pt idx="3">
                  <c:v>5.2295277194341647</c:v>
                </c:pt>
                <c:pt idx="4">
                  <c:v>5.3424595839816043</c:v>
                </c:pt>
                <c:pt idx="5">
                  <c:v>4.4402157802782316</c:v>
                </c:pt>
              </c:numCache>
            </c:numRef>
          </c:xVal>
          <c:yVal>
            <c:numRef>
              <c:f>('Polymer Hole Size'!$L$23:$L$25,'Polymer Hole Size'!$L$31:$L$34)</c:f>
              <c:numCache>
                <c:formatCode>0.00</c:formatCode>
                <c:ptCount val="6"/>
                <c:pt idx="0">
                  <c:v>6.7625000000000002</c:v>
                </c:pt>
                <c:pt idx="1">
                  <c:v>6.0750000000000002</c:v>
                </c:pt>
                <c:pt idx="2">
                  <c:v>6.2050000000000001</c:v>
                </c:pt>
                <c:pt idx="3">
                  <c:v>4.7225000000000001</c:v>
                </c:pt>
                <c:pt idx="4">
                  <c:v>5.1325000000000003</c:v>
                </c:pt>
                <c:pt idx="5">
                  <c:v>5.3737500000000002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48-FE4E-A6AC-B1CBCB4B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766927"/>
        <c:axId val="2010446079"/>
      </c:scatterChart>
      <c:valAx>
        <c:axId val="1844766927"/>
        <c:scaling>
          <c:orientation val="minMax"/>
          <c:max val="7"/>
          <c:min val="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Impact Velocity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0446079"/>
        <c:crosses val="autoZero"/>
        <c:crossBetween val="midCat"/>
      </c:valAx>
      <c:valAx>
        <c:axId val="2010446079"/>
        <c:scaling>
          <c:orientation val="minMax"/>
          <c:max val="8"/>
          <c:min val="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Crater</a:t>
                </a:r>
                <a:r>
                  <a:rPr lang="en-US" baseline="0"/>
                  <a:t> Height</a:t>
                </a:r>
                <a:r>
                  <a:rPr lang="en-US"/>
                  <a:t>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4766927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313831146515336"/>
          <c:y val="0.78381672137581615"/>
          <c:w val="9.9644100923866816E-2"/>
          <c:h val="5.60992530924335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306924837269092E-2"/>
          <c:y val="3.2608203449046941E-2"/>
          <c:w val="0.86101352072356696"/>
          <c:h val="0.84323857113980261"/>
        </c:manualLayout>
      </c:layout>
      <c:scatterChart>
        <c:scatterStyle val="lineMarker"/>
        <c:varyColors val="0"/>
        <c:ser>
          <c:idx val="0"/>
          <c:order val="0"/>
          <c:tx>
            <c:v>UHMWPE, t=0.25 in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('Polymer Hole Size'!$G$2:$G$10,'Polymer Hole Size'!$G$26:$G$28)</c:f>
              <c:numCache>
                <c:formatCode>0.0000</c:formatCode>
                <c:ptCount val="11"/>
                <c:pt idx="0">
                  <c:v>6.756756756756757</c:v>
                </c:pt>
                <c:pt idx="1">
                  <c:v>6.3424947145877377</c:v>
                </c:pt>
                <c:pt idx="2">
                  <c:v>5.8593749999999991</c:v>
                </c:pt>
                <c:pt idx="3">
                  <c:v>5.5248618784530388</c:v>
                </c:pt>
                <c:pt idx="4">
                  <c:v>5.1813471502590671</c:v>
                </c:pt>
                <c:pt idx="5">
                  <c:v>4.3668122270742353</c:v>
                </c:pt>
                <c:pt idx="6">
                  <c:v>3.7783375314861454</c:v>
                </c:pt>
                <c:pt idx="7">
                  <c:v>2.9382957884427032</c:v>
                </c:pt>
                <c:pt idx="8">
                  <c:v>2.0920502092050204</c:v>
                </c:pt>
                <c:pt idx="9">
                  <c:v>4.8598626214034182</c:v>
                </c:pt>
                <c:pt idx="10">
                  <c:v>5.404549831084398</c:v>
                </c:pt>
              </c:numCache>
            </c:numRef>
          </c:xVal>
          <c:yVal>
            <c:numRef>
              <c:f>('Polymer Hole Size'!$K$2:$K$10,'Polymer Hole Size'!$K$26,'Polymer Hole Size'!$K$28)</c:f>
              <c:numCache>
                <c:formatCode>0.0000</c:formatCode>
                <c:ptCount val="11"/>
                <c:pt idx="0">
                  <c:v>32.305741426694375</c:v>
                </c:pt>
                <c:pt idx="1">
                  <c:v>29.186326143359992</c:v>
                </c:pt>
                <c:pt idx="2">
                  <c:v>25.6520444619375</c:v>
                </c:pt>
                <c:pt idx="3">
                  <c:v>24.524621273240001</c:v>
                </c:pt>
                <c:pt idx="4">
                  <c:v>20.77815601416938</c:v>
                </c:pt>
                <c:pt idx="5">
                  <c:v>14.643833776790002</c:v>
                </c:pt>
                <c:pt idx="6">
                  <c:v>11.400908649749997</c:v>
                </c:pt>
                <c:pt idx="7">
                  <c:v>7.2965815358399979</c:v>
                </c:pt>
                <c:pt idx="8">
                  <c:v>4.2422781085719734</c:v>
                </c:pt>
                <c:pt idx="9">
                  <c:v>11.58045051825</c:v>
                </c:pt>
                <c:pt idx="10">
                  <c:v>12.628563481999997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5-8F44-B08F-B187DA857A00}"/>
            </c:ext>
          </c:extLst>
        </c:ser>
        <c:ser>
          <c:idx val="1"/>
          <c:order val="1"/>
          <c:tx>
            <c:v>HDPE, t=0.125 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045-8F44-B08F-B187DA857A00}"/>
              </c:ext>
            </c:extLst>
          </c:dPt>
          <c:dPt>
            <c:idx val="6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045-8F44-B08F-B187DA857A00}"/>
              </c:ext>
            </c:extLst>
          </c:dPt>
          <c:xVal>
            <c:numRef>
              <c:f>'Polymer Hole Size'!$G$17:$G$20</c:f>
              <c:numCache>
                <c:formatCode>0.0000</c:formatCode>
                <c:ptCount val="4"/>
                <c:pt idx="0">
                  <c:v>3.3898305084745761</c:v>
                </c:pt>
                <c:pt idx="1">
                  <c:v>4.5662100456620998</c:v>
                </c:pt>
                <c:pt idx="2">
                  <c:v>6.0728744939271255</c:v>
                </c:pt>
                <c:pt idx="3">
                  <c:v>2.9910269192422727</c:v>
                </c:pt>
              </c:numCache>
            </c:numRef>
          </c:xVal>
          <c:yVal>
            <c:numRef>
              <c:f>'Polymer Hole Size'!$K$17:$K$20</c:f>
              <c:numCache>
                <c:formatCode>0.0000</c:formatCode>
                <c:ptCount val="4"/>
                <c:pt idx="0">
                  <c:v>20.679301417871091</c:v>
                </c:pt>
                <c:pt idx="1">
                  <c:v>28.67628134923438</c:v>
                </c:pt>
                <c:pt idx="2">
                  <c:v>33.554195008277354</c:v>
                </c:pt>
                <c:pt idx="3">
                  <c:v>12.495773626871093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45-8F44-B08F-B187DA857A00}"/>
            </c:ext>
          </c:extLst>
        </c:ser>
        <c:ser>
          <c:idx val="2"/>
          <c:order val="2"/>
          <c:tx>
            <c:v>HDPE @ 60 deg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'Polymer Hole Size'!$G$32:$G$33</c:f>
              <c:numCache>
                <c:formatCode>0.0000</c:formatCode>
                <c:ptCount val="2"/>
                <c:pt idx="0">
                  <c:v>5.2295277194341647</c:v>
                </c:pt>
                <c:pt idx="1">
                  <c:v>5.3424595839816043</c:v>
                </c:pt>
              </c:numCache>
            </c:numRef>
          </c:xVal>
          <c:yVal>
            <c:numRef>
              <c:f>'Polymer Hole Size'!$K$32:$K$33</c:f>
              <c:numCache>
                <c:formatCode>0.0000</c:formatCode>
                <c:ptCount val="2"/>
                <c:pt idx="0">
                  <c:v>18.287823707999998</c:v>
                </c:pt>
                <c:pt idx="1">
                  <c:v>19.024055324500001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45-8F44-B08F-B187DA857A00}"/>
            </c:ext>
          </c:extLst>
        </c:ser>
        <c:ser>
          <c:idx val="3"/>
          <c:order val="3"/>
          <c:tx>
            <c:v>HDPE @ 30 deg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'Polymer Hole Size'!$G$34</c:f>
              <c:numCache>
                <c:formatCode>0.0000</c:formatCode>
                <c:ptCount val="1"/>
                <c:pt idx="0">
                  <c:v>4.4402157802782316</c:v>
                </c:pt>
              </c:numCache>
            </c:numRef>
          </c:xVal>
          <c:yVal>
            <c:numRef>
              <c:f>'Polymer Hole Size'!$K$34</c:f>
              <c:numCache>
                <c:formatCode>0.0000</c:formatCode>
                <c:ptCount val="1"/>
                <c:pt idx="0">
                  <c:v>11.538745911000001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45-8F44-B08F-B187DA857A00}"/>
            </c:ext>
          </c:extLst>
        </c:ser>
        <c:ser>
          <c:idx val="4"/>
          <c:order val="4"/>
          <c:tx>
            <c:v>UHMWPE, t=0.125 in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'Polymer Hole Size'!$G$11:$G$16</c:f>
              <c:numCache>
                <c:formatCode>0.0000</c:formatCode>
                <c:ptCount val="6"/>
                <c:pt idx="0">
                  <c:v>2.9673590504451042</c:v>
                </c:pt>
                <c:pt idx="1">
                  <c:v>4.160887656033287</c:v>
                </c:pt>
                <c:pt idx="2">
                  <c:v>6.3829787234042552</c:v>
                </c:pt>
                <c:pt idx="3">
                  <c:v>3.6101083032490973</c:v>
                </c:pt>
                <c:pt idx="4">
                  <c:v>5.1635111876075728</c:v>
                </c:pt>
                <c:pt idx="5">
                  <c:v>5.8479532163742691</c:v>
                </c:pt>
              </c:numCache>
            </c:numRef>
          </c:xVal>
          <c:yVal>
            <c:numRef>
              <c:f>'Polymer Hole Size'!$K$11:$K$16</c:f>
              <c:numCache>
                <c:formatCode>0.0000</c:formatCode>
                <c:ptCount val="6"/>
                <c:pt idx="0">
                  <c:v>12.914310727437499</c:v>
                </c:pt>
                <c:pt idx="1">
                  <c:v>18.905530251464842</c:v>
                </c:pt>
                <c:pt idx="2">
                  <c:v>25.495185854984378</c:v>
                </c:pt>
                <c:pt idx="3">
                  <c:v>12.215416171777347</c:v>
                </c:pt>
                <c:pt idx="4">
                  <c:v>15.136259159750004</c:v>
                </c:pt>
                <c:pt idx="5">
                  <c:v>18.426928649902344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45-8F44-B08F-B187DA857A00}"/>
            </c:ext>
          </c:extLst>
        </c:ser>
        <c:ser>
          <c:idx val="5"/>
          <c:order val="5"/>
          <c:tx>
            <c:v>HDPE, t=0.25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'Polymer Hole Size'!$G$25</c:f>
              <c:numCache>
                <c:formatCode>0.0000</c:formatCode>
                <c:ptCount val="1"/>
                <c:pt idx="0">
                  <c:v>5.2069860256991829</c:v>
                </c:pt>
              </c:numCache>
            </c:numRef>
          </c:xVal>
          <c:yVal>
            <c:numRef>
              <c:f>'Polymer Hole Size'!$K$25</c:f>
              <c:numCache>
                <c:formatCode>0.0000</c:formatCode>
                <c:ptCount val="1"/>
                <c:pt idx="0">
                  <c:v>12.660764779500003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45-8F44-B08F-B187DA857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766927"/>
        <c:axId val="2010446079"/>
      </c:scatterChart>
      <c:valAx>
        <c:axId val="1844766927"/>
        <c:scaling>
          <c:orientation val="minMax"/>
          <c:max val="7"/>
          <c:min val="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Impact Velocity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0446079"/>
        <c:crosses val="autoZero"/>
        <c:crossBetween val="midCat"/>
      </c:valAx>
      <c:valAx>
        <c:axId val="2010446079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Normalized Damage Area (A</a:t>
                </a:r>
                <a:r>
                  <a:rPr lang="en-US" baseline="-25000"/>
                  <a:t>damage</a:t>
                </a:r>
                <a:r>
                  <a:rPr lang="en-US"/>
                  <a:t>/d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44766927"/>
        <c:crosses val="autoZero"/>
        <c:crossBetween val="midCat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112077481928789"/>
          <c:y val="0.61249528486938021"/>
          <c:w val="0.27281549096135099"/>
          <c:h val="0.2372992218847323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722842</xdr:colOff>
      <xdr:row>42</xdr:row>
      <xdr:rowOff>112183</xdr:rowOff>
    </xdr:from>
    <xdr:to>
      <xdr:col>90</xdr:col>
      <xdr:colOff>523875</xdr:colOff>
      <xdr:row>65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424EB-8315-42FB-8AA6-D1E915798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562429</xdr:colOff>
      <xdr:row>58</xdr:row>
      <xdr:rowOff>7986</xdr:rowOff>
    </xdr:from>
    <xdr:to>
      <xdr:col>35</xdr:col>
      <xdr:colOff>115603</xdr:colOff>
      <xdr:row>83</xdr:row>
      <xdr:rowOff>79173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E240B3-A7DF-3945-A432-E9C38F3DA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266653</xdr:colOff>
      <xdr:row>94</xdr:row>
      <xdr:rowOff>124076</xdr:rowOff>
    </xdr:from>
    <xdr:to>
      <xdr:col>33</xdr:col>
      <xdr:colOff>57804</xdr:colOff>
      <xdr:row>120</xdr:row>
      <xdr:rowOff>17870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B49EE-3820-4C10-83F3-CF06FB315E9B}"/>
            </a:ext>
            <a:ext uri="{147F2762-F138-4A5C-976F-8EAC2B608ADB}">
              <a16:predDERef xmlns:a16="http://schemas.microsoft.com/office/drawing/2014/main" pred="{1AE240B3-A7DF-3945-A432-E9C38F3DA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241300</xdr:colOff>
      <xdr:row>0</xdr:row>
      <xdr:rowOff>12700</xdr:rowOff>
    </xdr:from>
    <xdr:to>
      <xdr:col>8</xdr:col>
      <xdr:colOff>688975</xdr:colOff>
      <xdr:row>9</xdr:row>
      <xdr:rowOff>98425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0E79B1-1D02-4164-958E-16E5CEB41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0050" y="12700"/>
          <a:ext cx="3505200" cy="1543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257175</xdr:colOff>
      <xdr:row>3</xdr:row>
      <xdr:rowOff>142875</xdr:rowOff>
    </xdr:from>
    <xdr:to>
      <xdr:col>11</xdr:col>
      <xdr:colOff>504825</xdr:colOff>
      <xdr:row>16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B9C10F9-089E-46F1-9EF2-70031E081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609600"/>
          <a:ext cx="5124450" cy="1943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7</xdr:row>
      <xdr:rowOff>123825</xdr:rowOff>
    </xdr:from>
    <xdr:to>
      <xdr:col>19</xdr:col>
      <xdr:colOff>314325</xdr:colOff>
      <xdr:row>38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23E1E6-DC33-4A56-8266-C40AB2C45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0</xdr:row>
      <xdr:rowOff>0</xdr:rowOff>
    </xdr:from>
    <xdr:to>
      <xdr:col>6</xdr:col>
      <xdr:colOff>723900</xdr:colOff>
      <xdr:row>9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75DBEBF-EDC4-43A5-9AFA-E10AC64C4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5575" y="0"/>
          <a:ext cx="3505200" cy="15335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393332</xdr:colOff>
      <xdr:row>39</xdr:row>
      <xdr:rowOff>50617</xdr:rowOff>
    </xdr:from>
    <xdr:to>
      <xdr:col>7</xdr:col>
      <xdr:colOff>623353</xdr:colOff>
      <xdr:row>65</xdr:row>
      <xdr:rowOff>132270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FE9FA-7B7F-314D-9958-210701E15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10282</xdr:colOff>
      <xdr:row>39</xdr:row>
      <xdr:rowOff>70757</xdr:rowOff>
    </xdr:from>
    <xdr:to>
      <xdr:col>15</xdr:col>
      <xdr:colOff>337063</xdr:colOff>
      <xdr:row>65</xdr:row>
      <xdr:rowOff>152410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B1B80-34E3-B744-8D56-DB5E068F2935}"/>
            </a:ext>
            <a:ext uri="{147F2762-F138-4A5C-976F-8EAC2B608ADB}">
              <a16:predDERef xmlns:a16="http://schemas.microsoft.com/office/drawing/2014/main" pred="{571FE9FA-7B7F-314D-9958-210701E15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411842</xdr:colOff>
      <xdr:row>68</xdr:row>
      <xdr:rowOff>120952</xdr:rowOff>
    </xdr:from>
    <xdr:to>
      <xdr:col>7</xdr:col>
      <xdr:colOff>624929</xdr:colOff>
      <xdr:row>93</xdr:row>
      <xdr:rowOff>130638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D67F6D-9B38-C34C-876C-DF620C998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270933</xdr:colOff>
      <xdr:row>1</xdr:row>
      <xdr:rowOff>84667</xdr:rowOff>
    </xdr:from>
    <xdr:to>
      <xdr:col>20</xdr:col>
      <xdr:colOff>817848</xdr:colOff>
      <xdr:row>33</xdr:row>
      <xdr:rowOff>132454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B0519B-29CA-7D4F-916C-7361A7689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535964</xdr:colOff>
      <xdr:row>69</xdr:row>
      <xdr:rowOff>0</xdr:rowOff>
    </xdr:from>
    <xdr:to>
      <xdr:col>16</xdr:col>
      <xdr:colOff>38317</xdr:colOff>
      <xdr:row>94</xdr:row>
      <xdr:rowOff>9686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DD5F8D-8B26-834A-AB90-1D60A3FF3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DN1006"/>
  <sheetViews>
    <sheetView tabSelected="1" zoomScaleNormal="100" workbookViewId="0">
      <pane xSplit="1" ySplit="5" topLeftCell="CD39" activePane="bottomRight" state="frozen"/>
      <selection pane="topRight" activeCell="B1" sqref="B1"/>
      <selection pane="bottomLeft" activeCell="A5" sqref="A5"/>
      <selection pane="bottomRight" activeCell="CM41" sqref="CM41"/>
    </sheetView>
  </sheetViews>
  <sheetFormatPr defaultColWidth="14.42578125" defaultRowHeight="12.75"/>
  <cols>
    <col min="1" max="1" width="37.140625" style="15" customWidth="1"/>
    <col min="2" max="5" width="22.7109375" style="15" customWidth="1"/>
    <col min="6" max="6" width="15.7109375" style="15" customWidth="1"/>
    <col min="7" max="7" width="14.42578125" style="38" customWidth="1"/>
    <col min="8" max="8" width="15.7109375" style="38" customWidth="1"/>
    <col min="9" max="9" width="21.7109375" style="38" customWidth="1"/>
    <col min="10" max="10" width="28.28515625" style="38" customWidth="1"/>
    <col min="11" max="13" width="14.28515625" style="38" customWidth="1"/>
    <col min="14" max="14" width="12.7109375" style="15" customWidth="1"/>
    <col min="15" max="15" width="12.28515625" style="205" customWidth="1"/>
    <col min="16" max="16" width="12.7109375" style="38" customWidth="1"/>
    <col min="17" max="19" width="12.7109375" style="54" customWidth="1"/>
    <col min="20" max="20" width="12.7109375" style="535" customWidth="1"/>
    <col min="21" max="21" width="15.42578125" style="205" customWidth="1"/>
    <col min="22" max="23" width="16.140625" style="205" customWidth="1"/>
    <col min="24" max="24" width="9.85546875" style="205" customWidth="1"/>
    <col min="25" max="25" width="16.42578125" style="15" customWidth="1"/>
    <col min="26" max="26" width="16.42578125" style="38" customWidth="1"/>
    <col min="27" max="27" width="15.7109375" style="15" customWidth="1"/>
    <col min="28" max="30" width="15.7109375" style="38" customWidth="1"/>
    <col min="31" max="31" width="26.42578125" style="38" customWidth="1"/>
    <col min="32" max="32" width="22" style="38" customWidth="1"/>
    <col min="33" max="33" width="21" style="38" customWidth="1"/>
    <col min="34" max="34" width="35.140625" style="38" customWidth="1"/>
    <col min="35" max="35" width="33.42578125" style="38" customWidth="1"/>
    <col min="36" max="36" width="8.42578125" style="38" customWidth="1"/>
    <col min="37" max="37" width="14.28515625" style="38" customWidth="1"/>
    <col min="38" max="38" width="19.42578125" style="38" customWidth="1"/>
    <col min="39" max="39" width="14.7109375" style="38" customWidth="1"/>
    <col min="40" max="40" width="13.42578125" style="295" customWidth="1"/>
    <col min="41" max="42" width="13.28515625" style="295" customWidth="1"/>
    <col min="43" max="43" width="15.7109375" style="38" customWidth="1"/>
    <col min="44" max="44" width="13.85546875" style="288" bestFit="1" customWidth="1"/>
    <col min="45" max="45" width="10.28515625" style="15" customWidth="1"/>
    <col min="46" max="46" width="11.28515625" style="15" customWidth="1"/>
    <col min="47" max="47" width="12.7109375" style="35" customWidth="1"/>
    <col min="48" max="48" width="14" style="279" customWidth="1"/>
    <col min="49" max="49" width="11.42578125" style="279" customWidth="1"/>
    <col min="50" max="50" width="12.7109375" style="279" customWidth="1"/>
    <col min="51" max="51" width="13.7109375" style="282" customWidth="1"/>
    <col min="52" max="52" width="13.85546875" style="272" customWidth="1"/>
    <col min="53" max="53" width="12.28515625" style="272" customWidth="1"/>
    <col min="54" max="54" width="12" style="15" customWidth="1"/>
    <col min="55" max="55" width="12.7109375" style="38" customWidth="1"/>
    <col min="56" max="56" width="12.7109375" style="15" customWidth="1"/>
    <col min="57" max="57" width="14.42578125" style="15" hidden="1" customWidth="1"/>
    <col min="58" max="61" width="0" style="15" hidden="1" customWidth="1"/>
    <col min="62" max="62" width="14.42578125" style="15"/>
    <col min="63" max="63" width="90.7109375" style="15" customWidth="1"/>
    <col min="64" max="64" width="14.42578125" style="15"/>
    <col min="65" max="65" width="35.42578125" style="15" bestFit="1" customWidth="1"/>
    <col min="66" max="81" width="14.42578125" style="15"/>
    <col min="82" max="82" width="13.28515625" style="15" bestFit="1" customWidth="1"/>
    <col min="83" max="83" width="16" style="15" bestFit="1" customWidth="1"/>
    <col min="84" max="84" width="13.42578125" style="15" bestFit="1" customWidth="1"/>
    <col min="85" max="16384" width="14.42578125" style="15"/>
  </cols>
  <sheetData>
    <row r="1" spans="1:118" ht="15.75">
      <c r="A1" s="67" t="s">
        <v>0</v>
      </c>
      <c r="B1" s="67"/>
      <c r="C1" s="67"/>
      <c r="D1" s="67"/>
      <c r="E1" s="67"/>
      <c r="F1" s="13"/>
      <c r="G1" s="43"/>
      <c r="H1" s="36"/>
      <c r="I1" s="36"/>
      <c r="J1" s="36"/>
      <c r="K1" s="36"/>
      <c r="L1" s="36"/>
      <c r="M1" s="36"/>
      <c r="N1" s="13"/>
      <c r="O1" s="202"/>
      <c r="P1" s="36"/>
      <c r="Q1" s="52"/>
      <c r="R1" s="52"/>
      <c r="S1" s="52"/>
      <c r="U1" s="202"/>
      <c r="V1" s="202"/>
      <c r="W1" s="202"/>
      <c r="X1" s="202"/>
      <c r="Y1" s="13"/>
      <c r="Z1" s="36"/>
      <c r="AA1" s="13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289"/>
      <c r="AO1" s="289"/>
      <c r="AP1" s="289"/>
      <c r="AQ1" s="36"/>
      <c r="AR1" s="283"/>
      <c r="AS1" s="13"/>
      <c r="AT1" s="13"/>
      <c r="AU1" s="32"/>
      <c r="AV1" s="277"/>
      <c r="AW1" s="277"/>
      <c r="AX1" s="277"/>
      <c r="AY1" s="280"/>
      <c r="AZ1" s="268"/>
      <c r="BA1" s="268"/>
      <c r="BB1" s="13"/>
      <c r="BC1" s="36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</row>
    <row r="2" spans="1:118">
      <c r="A2" s="14" t="s">
        <v>1</v>
      </c>
      <c r="B2" s="14"/>
      <c r="C2" s="14"/>
      <c r="D2" s="14"/>
      <c r="E2" s="14"/>
      <c r="F2" s="105" t="s">
        <v>2</v>
      </c>
      <c r="G2" s="59">
        <v>0.3</v>
      </c>
      <c r="I2" s="46" t="s">
        <v>3</v>
      </c>
      <c r="J2" s="16">
        <f>COUNTIF(BC6:BC107,"*")</f>
        <v>97</v>
      </c>
      <c r="N2" s="13"/>
      <c r="O2" s="202"/>
      <c r="P2" s="36"/>
      <c r="Q2" s="52"/>
      <c r="R2" s="52"/>
      <c r="S2" s="52"/>
      <c r="U2" s="261" t="s">
        <v>4</v>
      </c>
      <c r="V2" s="641">
        <f ca="1">NOW()</f>
        <v>44221.502613425924</v>
      </c>
      <c r="W2" s="642"/>
      <c r="X2" s="206"/>
      <c r="Y2" s="13"/>
      <c r="Z2" s="36"/>
      <c r="AA2" s="13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289"/>
      <c r="AO2" s="289"/>
      <c r="AP2" s="289"/>
      <c r="AQ2" s="36"/>
      <c r="AR2" s="284"/>
      <c r="AS2" s="13"/>
      <c r="AT2" s="13"/>
      <c r="AU2" s="32"/>
      <c r="AV2" s="277"/>
      <c r="AW2" s="277"/>
      <c r="AX2" s="277"/>
      <c r="AY2" s="280"/>
      <c r="AZ2" s="268"/>
      <c r="BA2" s="268"/>
      <c r="BB2" s="13"/>
      <c r="BC2" s="36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</row>
    <row r="3" spans="1:118">
      <c r="A3" s="14" t="s">
        <v>5</v>
      </c>
      <c r="B3" s="14"/>
      <c r="C3" s="14"/>
      <c r="D3" s="14"/>
      <c r="E3" s="14"/>
      <c r="F3" s="65"/>
      <c r="G3" s="66"/>
      <c r="H3" s="620"/>
      <c r="I3" s="62"/>
      <c r="J3" s="62"/>
      <c r="N3" s="13"/>
      <c r="O3" s="202"/>
      <c r="P3" s="36"/>
      <c r="Q3" s="52"/>
      <c r="R3" s="52"/>
      <c r="S3" s="52"/>
      <c r="U3" s="203"/>
      <c r="V3" s="206"/>
      <c r="W3" s="206"/>
      <c r="X3" s="206"/>
      <c r="Y3" s="13"/>
      <c r="Z3" s="36"/>
      <c r="AA3" s="13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289"/>
      <c r="AO3" s="289"/>
      <c r="AP3" s="289"/>
      <c r="AQ3" s="36"/>
      <c r="AR3" s="283"/>
      <c r="AS3" s="13"/>
      <c r="AT3" s="13"/>
      <c r="AU3" s="32"/>
      <c r="AV3" s="277"/>
      <c r="AW3" s="277"/>
      <c r="AX3" s="277"/>
      <c r="AY3" s="280"/>
      <c r="AZ3" s="268"/>
      <c r="BA3" s="268"/>
      <c r="BB3" s="13"/>
      <c r="BC3" s="36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</row>
    <row r="4" spans="1:118">
      <c r="A4" s="14" t="s">
        <v>6</v>
      </c>
      <c r="B4" s="14"/>
      <c r="C4" s="14"/>
      <c r="D4" s="14"/>
      <c r="E4" s="14"/>
      <c r="F4" s="13"/>
      <c r="G4" s="36"/>
      <c r="H4" s="36"/>
      <c r="I4" s="36"/>
      <c r="J4" s="36"/>
      <c r="K4" s="36"/>
      <c r="L4" s="36"/>
      <c r="M4" s="36"/>
      <c r="N4" s="13"/>
      <c r="O4" s="202"/>
      <c r="P4" s="36"/>
      <c r="Q4" s="52"/>
      <c r="R4" s="52"/>
      <c r="S4" s="52"/>
      <c r="U4" s="202"/>
      <c r="V4" s="202"/>
      <c r="W4" s="202"/>
      <c r="X4" s="202"/>
      <c r="Z4" s="36"/>
      <c r="AA4" s="13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289"/>
      <c r="AO4" s="289"/>
      <c r="AP4" s="289"/>
      <c r="AQ4" s="36"/>
      <c r="AR4" s="283"/>
      <c r="AS4" s="13"/>
      <c r="AT4" s="13"/>
      <c r="AU4" s="32"/>
      <c r="AV4" s="277"/>
      <c r="AW4" s="277"/>
      <c r="AX4" s="277"/>
      <c r="AY4" s="280"/>
      <c r="AZ4" s="268"/>
      <c r="BA4" s="268"/>
      <c r="BB4" s="13"/>
      <c r="BC4" s="36"/>
      <c r="BD4" s="13"/>
      <c r="BE4" s="640" t="s">
        <v>7</v>
      </c>
      <c r="BF4" s="640"/>
      <c r="BG4" s="640"/>
      <c r="BH4" s="640"/>
      <c r="BI4" s="640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</row>
    <row r="5" spans="1:118" ht="59.25" customHeight="1" thickBot="1">
      <c r="A5" s="17" t="s">
        <v>8</v>
      </c>
      <c r="B5" s="18" t="s">
        <v>9</v>
      </c>
      <c r="C5" s="20" t="s">
        <v>445</v>
      </c>
      <c r="D5" s="20" t="s">
        <v>446</v>
      </c>
      <c r="E5" s="20" t="s">
        <v>447</v>
      </c>
      <c r="F5" s="19" t="s">
        <v>10</v>
      </c>
      <c r="G5" s="20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19" t="s">
        <v>17</v>
      </c>
      <c r="N5" s="19" t="s">
        <v>18</v>
      </c>
      <c r="O5" s="204" t="s">
        <v>19</v>
      </c>
      <c r="P5" s="19" t="s">
        <v>20</v>
      </c>
      <c r="Q5" s="19" t="s">
        <v>21</v>
      </c>
      <c r="R5" s="19" t="s">
        <v>22</v>
      </c>
      <c r="S5" s="19" t="s">
        <v>23</v>
      </c>
      <c r="T5" s="536" t="s">
        <v>24</v>
      </c>
      <c r="U5" s="204" t="s">
        <v>25</v>
      </c>
      <c r="V5" s="204" t="s">
        <v>26</v>
      </c>
      <c r="W5" s="204" t="s">
        <v>27</v>
      </c>
      <c r="X5" s="204" t="s">
        <v>28</v>
      </c>
      <c r="Y5" s="19" t="s">
        <v>29</v>
      </c>
      <c r="Z5" s="19" t="s">
        <v>30</v>
      </c>
      <c r="AA5" s="19" t="s">
        <v>31</v>
      </c>
      <c r="AB5" s="21" t="s">
        <v>32</v>
      </c>
      <c r="AC5" s="266" t="s">
        <v>33</v>
      </c>
      <c r="AD5" s="266" t="s">
        <v>34</v>
      </c>
      <c r="AE5" s="21" t="s">
        <v>35</v>
      </c>
      <c r="AF5" s="21" t="s">
        <v>36</v>
      </c>
      <c r="AG5" s="21" t="s">
        <v>37</v>
      </c>
      <c r="AH5" s="21" t="s">
        <v>38</v>
      </c>
      <c r="AI5" s="21" t="s">
        <v>38</v>
      </c>
      <c r="AJ5" s="21" t="s">
        <v>39</v>
      </c>
      <c r="AK5" s="21" t="s">
        <v>40</v>
      </c>
      <c r="AL5" s="21" t="s">
        <v>41</v>
      </c>
      <c r="AM5" s="21" t="s">
        <v>42</v>
      </c>
      <c r="AN5" s="290" t="s">
        <v>43</v>
      </c>
      <c r="AO5" s="290" t="s">
        <v>44</v>
      </c>
      <c r="AP5" s="290" t="s">
        <v>45</v>
      </c>
      <c r="AQ5" s="21" t="s">
        <v>46</v>
      </c>
      <c r="AR5" s="33" t="s">
        <v>47</v>
      </c>
      <c r="AS5" s="21" t="s">
        <v>48</v>
      </c>
      <c r="AT5" s="21" t="s">
        <v>49</v>
      </c>
      <c r="AU5" s="33" t="s">
        <v>50</v>
      </c>
      <c r="AV5" s="276" t="s">
        <v>51</v>
      </c>
      <c r="AW5" s="276" t="s">
        <v>52</v>
      </c>
      <c r="AX5" s="276" t="s">
        <v>53</v>
      </c>
      <c r="AY5" s="275" t="s">
        <v>54</v>
      </c>
      <c r="AZ5" s="273" t="s">
        <v>55</v>
      </c>
      <c r="BA5" s="269" t="s">
        <v>56</v>
      </c>
      <c r="BB5" s="19" t="s">
        <v>57</v>
      </c>
      <c r="BC5" s="22" t="s">
        <v>58</v>
      </c>
      <c r="BD5" s="23"/>
      <c r="BE5" s="24" t="s">
        <v>59</v>
      </c>
      <c r="BF5" s="24" t="s">
        <v>60</v>
      </c>
      <c r="BG5" s="24" t="s">
        <v>61</v>
      </c>
      <c r="BH5" s="24" t="s">
        <v>62</v>
      </c>
      <c r="BI5" s="24" t="s">
        <v>63</v>
      </c>
      <c r="BJ5" s="13"/>
      <c r="BK5" s="17" t="s">
        <v>64</v>
      </c>
      <c r="BL5" s="13"/>
      <c r="BM5" s="17" t="s">
        <v>8</v>
      </c>
      <c r="BN5" s="20" t="s">
        <v>445</v>
      </c>
      <c r="BO5" s="20" t="s">
        <v>446</v>
      </c>
      <c r="BP5" s="20" t="s">
        <v>447</v>
      </c>
      <c r="BQ5" s="19" t="s">
        <v>10</v>
      </c>
      <c r="BR5" s="20" t="s">
        <v>11</v>
      </c>
      <c r="BS5" s="19" t="s">
        <v>12</v>
      </c>
      <c r="BT5" s="19" t="s">
        <v>13</v>
      </c>
      <c r="BU5" s="19" t="s">
        <v>14</v>
      </c>
      <c r="BV5" s="19" t="s">
        <v>15</v>
      </c>
      <c r="BW5" s="19" t="s">
        <v>16</v>
      </c>
      <c r="BX5" s="19" t="s">
        <v>17</v>
      </c>
      <c r="BY5" s="19" t="s">
        <v>18</v>
      </c>
      <c r="BZ5" s="204" t="s">
        <v>19</v>
      </c>
      <c r="CA5" s="19" t="s">
        <v>20</v>
      </c>
      <c r="CB5" s="19" t="s">
        <v>21</v>
      </c>
      <c r="CC5" s="19" t="s">
        <v>22</v>
      </c>
      <c r="CD5" s="19" t="s">
        <v>23</v>
      </c>
      <c r="CE5" s="536" t="s">
        <v>24</v>
      </c>
      <c r="CF5" s="204" t="s">
        <v>25</v>
      </c>
      <c r="CG5" s="204" t="s">
        <v>26</v>
      </c>
      <c r="CH5" s="204" t="s">
        <v>27</v>
      </c>
      <c r="CI5" s="204" t="s">
        <v>28</v>
      </c>
      <c r="CJ5" s="19" t="s">
        <v>29</v>
      </c>
      <c r="CK5" s="19" t="s">
        <v>30</v>
      </c>
      <c r="CL5" s="19" t="s">
        <v>31</v>
      </c>
      <c r="CM5" s="21" t="s">
        <v>32</v>
      </c>
      <c r="CN5" s="266" t="s">
        <v>33</v>
      </c>
      <c r="CO5" s="266" t="s">
        <v>34</v>
      </c>
      <c r="CP5" s="21" t="s">
        <v>35</v>
      </c>
      <c r="CQ5" s="21" t="s">
        <v>36</v>
      </c>
      <c r="CR5" s="21" t="s">
        <v>37</v>
      </c>
      <c r="CS5" s="21" t="s">
        <v>38</v>
      </c>
      <c r="CT5" s="21" t="s">
        <v>38</v>
      </c>
      <c r="CU5" s="21" t="s">
        <v>39</v>
      </c>
      <c r="CV5" s="21" t="s">
        <v>40</v>
      </c>
      <c r="CW5" s="21" t="s">
        <v>41</v>
      </c>
      <c r="CX5" s="21" t="s">
        <v>42</v>
      </c>
      <c r="CY5" s="290" t="s">
        <v>43</v>
      </c>
      <c r="CZ5" s="290" t="s">
        <v>44</v>
      </c>
      <c r="DA5" s="290" t="s">
        <v>45</v>
      </c>
      <c r="DB5" s="21" t="s">
        <v>46</v>
      </c>
      <c r="DC5" s="33" t="s">
        <v>47</v>
      </c>
      <c r="DD5" s="21" t="s">
        <v>48</v>
      </c>
      <c r="DE5" s="21" t="s">
        <v>49</v>
      </c>
      <c r="DF5" s="33" t="s">
        <v>50</v>
      </c>
      <c r="DG5" s="276" t="s">
        <v>51</v>
      </c>
      <c r="DH5" s="276" t="s">
        <v>52</v>
      </c>
      <c r="DI5" s="276" t="s">
        <v>53</v>
      </c>
      <c r="DJ5" s="275" t="s">
        <v>54</v>
      </c>
      <c r="DK5" s="273" t="s">
        <v>55</v>
      </c>
      <c r="DL5" s="269" t="s">
        <v>56</v>
      </c>
      <c r="DM5" s="19" t="s">
        <v>57</v>
      </c>
      <c r="DN5" s="22" t="s">
        <v>58</v>
      </c>
    </row>
    <row r="6" spans="1:118" ht="13.5" thickTop="1">
      <c r="A6" s="25" t="str">
        <f>IF(B6&lt;&gt;"",G6&amp;"-"&amp;BG6&amp;BF6&amp;AQ6&amp;"-"&amp;BH6&amp;BE6&amp;BI6&amp;TEXT(ROUND(K6,0),"00")&amp;"-"&amp;TEXT(F6,"0000"),"")</f>
        <v>HVIL-CCRT-MAS06-0001</v>
      </c>
      <c r="B6" s="26">
        <v>43837</v>
      </c>
      <c r="C6" s="631"/>
      <c r="D6" s="631"/>
      <c r="E6" s="631"/>
      <c r="F6" s="51">
        <v>1</v>
      </c>
      <c r="G6" s="44" t="s">
        <v>65</v>
      </c>
      <c r="H6" s="37" t="s">
        <v>66</v>
      </c>
      <c r="I6" s="45" t="s">
        <v>67</v>
      </c>
      <c r="J6" s="45" t="s">
        <v>68</v>
      </c>
      <c r="K6" s="37">
        <v>6.4</v>
      </c>
      <c r="L6" s="37">
        <v>6.4</v>
      </c>
      <c r="M6" s="37">
        <v>1</v>
      </c>
      <c r="N6" s="27">
        <v>0.36199999999999999</v>
      </c>
      <c r="O6" s="63">
        <v>2.2919999999999998</v>
      </c>
      <c r="P6" s="37" t="s">
        <v>69</v>
      </c>
      <c r="Q6" s="53" t="s">
        <v>68</v>
      </c>
      <c r="R6" s="53" t="s">
        <v>70</v>
      </c>
      <c r="S6" s="457">
        <v>4203.3</v>
      </c>
      <c r="T6" s="537" t="s">
        <v>68</v>
      </c>
      <c r="U6" s="63">
        <v>1.2</v>
      </c>
      <c r="V6" s="63">
        <v>110</v>
      </c>
      <c r="W6" s="63">
        <v>0.02</v>
      </c>
      <c r="X6" s="207" t="s">
        <v>70</v>
      </c>
      <c r="Y6" s="27">
        <v>298</v>
      </c>
      <c r="Z6" s="37" t="s">
        <v>71</v>
      </c>
      <c r="AA6" s="27">
        <v>140</v>
      </c>
      <c r="AB6" s="263" t="s">
        <v>72</v>
      </c>
      <c r="AC6" s="37">
        <v>0</v>
      </c>
      <c r="AD6" s="41" t="s">
        <v>73</v>
      </c>
      <c r="AE6" s="40" t="s">
        <v>74</v>
      </c>
      <c r="AF6" s="40" t="str">
        <f>IF($AD6="N","N/A"," ")</f>
        <v>N/A</v>
      </c>
      <c r="AG6" s="40" t="str">
        <f>IF($AD6="N","N/A"," ")</f>
        <v>N/A</v>
      </c>
      <c r="AH6" s="40" t="s">
        <v>68</v>
      </c>
      <c r="AI6" s="40" t="str">
        <f>IF(AG6="N/A","N/A","")</f>
        <v>N/A</v>
      </c>
      <c r="AJ6" s="40" t="s">
        <v>73</v>
      </c>
      <c r="AK6" s="40" t="str">
        <f>IF($AJ6="N","N/A"," ")</f>
        <v>N/A</v>
      </c>
      <c r="AL6" s="40" t="str">
        <f>IF($AJ6="N","N/A"," ")</f>
        <v>N/A</v>
      </c>
      <c r="AM6" s="40" t="str">
        <f t="shared" ref="AK6:AM10" si="0">IF($AJ6="N","N/A"," ")</f>
        <v>N/A</v>
      </c>
      <c r="AN6" s="291" t="s">
        <v>68</v>
      </c>
      <c r="AO6" s="291" t="s">
        <v>68</v>
      </c>
      <c r="AP6" s="291" t="str">
        <f>IF(AN6="N/R","N/R",AN6-AO6)</f>
        <v>N/R</v>
      </c>
      <c r="AQ6" s="40" t="s">
        <v>75</v>
      </c>
      <c r="AR6" s="285">
        <v>180000</v>
      </c>
      <c r="AS6" s="28">
        <v>128</v>
      </c>
      <c r="AT6" s="28">
        <v>200</v>
      </c>
      <c r="AU6" s="34">
        <v>200000</v>
      </c>
      <c r="AV6" s="278" t="s">
        <v>68</v>
      </c>
      <c r="AW6" s="278" t="s">
        <v>68</v>
      </c>
      <c r="AX6" s="262" t="s">
        <v>68</v>
      </c>
      <c r="AY6" s="281" t="s">
        <v>68</v>
      </c>
      <c r="AZ6" s="61">
        <v>20.399999999999999</v>
      </c>
      <c r="BA6" s="61">
        <v>20.399999999999999</v>
      </c>
      <c r="BB6" s="27">
        <v>18</v>
      </c>
      <c r="BC6" s="42" t="s">
        <v>76</v>
      </c>
      <c r="BD6" s="29"/>
      <c r="BE6" s="30" t="str">
        <f t="shared" ref="BE6:BE8" si="1">IF(I6&lt;&gt;"",MID(I6,SEARCH("(",I6)+1,SEARCH(")",I6)-SEARCH("(",I6)-1),"")</f>
        <v>A</v>
      </c>
      <c r="BF6" s="30" t="str">
        <f t="shared" ref="BF6:BF8" si="2">IF(AE6&lt;&gt;"",MID(AE6,SEARCH("(",AE6)+1,SEARCH(")",AE6)-SEARCH("(",AE6)-1),"")</f>
        <v>C</v>
      </c>
      <c r="BG6" s="30" t="str">
        <f t="shared" ref="BG6:BG8" si="3">IF(AB6&lt;&gt;"",LEFT(AB6,1),"")</f>
        <v>C</v>
      </c>
      <c r="BH6" s="30" t="str">
        <f t="shared" ref="BH6:BH8" si="4">IF(H6&lt;&gt;"",LEFT(H6,1),"")</f>
        <v>M</v>
      </c>
      <c r="BI6" s="30" t="str">
        <f t="shared" ref="BI6:BI8" si="5">IF(P6&lt;&gt;"",MID(P6,SEARCH("(",P6)+1,SEARCH(")",P6)-SEARCH("(",P6)-1),"")</f>
        <v>S</v>
      </c>
      <c r="BJ6" s="13"/>
      <c r="BK6" s="57" t="s">
        <v>77</v>
      </c>
      <c r="BL6" s="13"/>
      <c r="BM6" s="13" t="s">
        <v>448</v>
      </c>
      <c r="BN6" s="341">
        <v>1.0466977145356859</v>
      </c>
      <c r="BO6" s="341">
        <v>1.4668543280994379</v>
      </c>
      <c r="BP6" s="341">
        <v>1.882281008166039</v>
      </c>
      <c r="BQ6" s="13">
        <v>59</v>
      </c>
      <c r="BR6" s="13" t="s">
        <v>82</v>
      </c>
      <c r="BS6" s="13" t="s">
        <v>66</v>
      </c>
      <c r="BT6" s="13" t="s">
        <v>87</v>
      </c>
      <c r="BU6" s="13" t="s">
        <v>105</v>
      </c>
      <c r="BV6" s="15">
        <v>10</v>
      </c>
      <c r="BW6" s="15">
        <v>10</v>
      </c>
      <c r="BX6" s="15">
        <v>1</v>
      </c>
      <c r="BY6" s="15">
        <v>1.4059999999999999</v>
      </c>
      <c r="BZ6" s="15">
        <v>3.3860000000000001</v>
      </c>
      <c r="CA6" s="15" t="s">
        <v>69</v>
      </c>
      <c r="CB6" s="15">
        <v>98.717500000000001</v>
      </c>
      <c r="CC6" s="15">
        <v>47.082974</v>
      </c>
      <c r="CD6" s="15">
        <v>6371.7300440707077</v>
      </c>
      <c r="CE6" s="15" t="s">
        <v>68</v>
      </c>
      <c r="CF6" s="15">
        <v>1.7490000000000001</v>
      </c>
      <c r="CG6" s="15">
        <v>150.08000000000001</v>
      </c>
      <c r="CH6" s="15">
        <v>0.02</v>
      </c>
      <c r="CI6" s="15">
        <v>363.93099999999998</v>
      </c>
      <c r="CJ6" s="15">
        <v>76</v>
      </c>
      <c r="CK6" s="15" t="s">
        <v>71</v>
      </c>
      <c r="CL6" s="15">
        <v>221</v>
      </c>
      <c r="CM6" s="15" t="s">
        <v>83</v>
      </c>
      <c r="CN6" s="15">
        <v>0</v>
      </c>
      <c r="CO6" s="15" t="s">
        <v>73</v>
      </c>
      <c r="CP6" s="15" t="s">
        <v>100</v>
      </c>
      <c r="CQ6" s="15" t="s">
        <v>70</v>
      </c>
      <c r="CR6" s="15" t="s">
        <v>70</v>
      </c>
      <c r="CS6" s="15" t="s">
        <v>102</v>
      </c>
      <c r="CT6" s="15" t="s">
        <v>70</v>
      </c>
      <c r="CU6" s="15" t="s">
        <v>73</v>
      </c>
      <c r="CV6" s="15" t="s">
        <v>70</v>
      </c>
      <c r="CW6" s="15" t="s">
        <v>70</v>
      </c>
      <c r="CX6" s="15" t="s">
        <v>70</v>
      </c>
      <c r="CY6" s="15">
        <v>0.55106999999999995</v>
      </c>
      <c r="CZ6" s="15">
        <v>0.54795000000000005</v>
      </c>
      <c r="DA6" s="15">
        <v>3.1199999999999006E-3</v>
      </c>
      <c r="DB6" s="15" t="s">
        <v>75</v>
      </c>
      <c r="DC6" s="15">
        <v>169356</v>
      </c>
      <c r="DD6" s="15">
        <v>128</v>
      </c>
      <c r="DE6" s="15">
        <v>200</v>
      </c>
      <c r="DF6" s="15">
        <v>1000000</v>
      </c>
      <c r="DG6" s="15">
        <v>6</v>
      </c>
      <c r="DH6" s="15">
        <v>8</v>
      </c>
      <c r="DI6" s="15">
        <v>1.1000000000000001</v>
      </c>
      <c r="DK6" s="15">
        <v>21.8</v>
      </c>
      <c r="DL6" s="15">
        <v>21.8</v>
      </c>
      <c r="DM6" s="15">
        <v>58</v>
      </c>
      <c r="DN6" s="15" t="s">
        <v>76</v>
      </c>
    </row>
    <row r="7" spans="1:118">
      <c r="A7" s="25" t="str">
        <f>IF(B7&lt;&gt;"",G7&amp;"-"&amp;BG7&amp;BF7&amp;AQ7&amp;"-"&amp;BH7&amp;BE7&amp;BI7&amp;TEXT(ROUND(K7,0),"00")&amp;"-"&amp;TEXT(F7,"0000"),"")</f>
        <v>HVIL-CSCRT-MAS06-0002</v>
      </c>
      <c r="B7" s="47">
        <v>43838</v>
      </c>
      <c r="C7" s="632"/>
      <c r="D7" s="632"/>
      <c r="E7" s="632"/>
      <c r="F7" s="50">
        <v>2</v>
      </c>
      <c r="G7" s="44" t="s">
        <v>65</v>
      </c>
      <c r="H7" s="37" t="s">
        <v>66</v>
      </c>
      <c r="I7" s="45" t="s">
        <v>67</v>
      </c>
      <c r="J7" s="45" t="s">
        <v>68</v>
      </c>
      <c r="K7" s="37">
        <v>6.4</v>
      </c>
      <c r="L7" s="37">
        <v>6.4</v>
      </c>
      <c r="M7" s="37">
        <v>1</v>
      </c>
      <c r="N7" s="27">
        <v>0.36199999999999999</v>
      </c>
      <c r="O7" s="63">
        <v>2.2919999999999998</v>
      </c>
      <c r="P7" s="37" t="s">
        <v>69</v>
      </c>
      <c r="Q7" s="53" t="s">
        <v>68</v>
      </c>
      <c r="R7" s="53">
        <v>44.4</v>
      </c>
      <c r="S7" s="457">
        <f>distx/(R7*10^-6)</f>
        <v>6756.7567567567576</v>
      </c>
      <c r="T7" s="537" t="s">
        <v>68</v>
      </c>
      <c r="U7" s="63">
        <v>1.22</v>
      </c>
      <c r="V7" s="63">
        <v>109.99</v>
      </c>
      <c r="W7" s="63">
        <v>0.02</v>
      </c>
      <c r="X7" s="63">
        <v>367.16</v>
      </c>
      <c r="Y7" s="27">
        <v>251</v>
      </c>
      <c r="Z7" s="37" t="s">
        <v>71</v>
      </c>
      <c r="AA7" s="55">
        <v>141</v>
      </c>
      <c r="AB7" s="264" t="s">
        <v>72</v>
      </c>
      <c r="AC7" s="39">
        <v>0</v>
      </c>
      <c r="AD7" s="41" t="s">
        <v>73</v>
      </c>
      <c r="AE7" s="40" t="s">
        <v>78</v>
      </c>
      <c r="AF7" s="40" t="str">
        <f t="shared" ref="AF7:AG70" si="6">IF($AD7="N","N/A"," ")</f>
        <v>N/A</v>
      </c>
      <c r="AG7" s="40" t="str">
        <f t="shared" si="6"/>
        <v>N/A</v>
      </c>
      <c r="AH7" s="40" t="s">
        <v>68</v>
      </c>
      <c r="AI7" s="40" t="str">
        <f t="shared" ref="AI7:AI70" si="7">IF(AG7="N/A","N/A","")</f>
        <v>N/A</v>
      </c>
      <c r="AJ7" s="40" t="s">
        <v>73</v>
      </c>
      <c r="AK7" s="40" t="str">
        <f t="shared" si="0"/>
        <v>N/A</v>
      </c>
      <c r="AL7" s="40" t="s">
        <v>70</v>
      </c>
      <c r="AM7" s="40" t="str">
        <f t="shared" si="0"/>
        <v>N/A</v>
      </c>
      <c r="AN7" s="291" t="s">
        <v>68</v>
      </c>
      <c r="AO7" s="291" t="s">
        <v>68</v>
      </c>
      <c r="AP7" s="291" t="str">
        <f t="shared" ref="AP7:AP30" si="8">IF(AN7="N/R","N/R",AN7-AO7)</f>
        <v>N/R</v>
      </c>
      <c r="AQ7" s="40" t="s">
        <v>75</v>
      </c>
      <c r="AR7" s="285">
        <v>180000</v>
      </c>
      <c r="AS7" s="28">
        <v>128</v>
      </c>
      <c r="AT7" s="28">
        <v>200</v>
      </c>
      <c r="AU7" s="34">
        <v>500000</v>
      </c>
      <c r="AV7" s="278" t="s">
        <v>68</v>
      </c>
      <c r="AW7" s="278" t="s">
        <v>68</v>
      </c>
      <c r="AX7" s="262" t="s">
        <v>68</v>
      </c>
      <c r="AY7" s="281" t="s">
        <v>68</v>
      </c>
      <c r="AZ7" s="61">
        <v>21.1</v>
      </c>
      <c r="BA7" s="61">
        <v>21.1</v>
      </c>
      <c r="BB7" s="27">
        <v>31</v>
      </c>
      <c r="BC7" s="42" t="s">
        <v>76</v>
      </c>
      <c r="BD7" s="29"/>
      <c r="BE7" s="30" t="str">
        <f t="shared" si="1"/>
        <v>A</v>
      </c>
      <c r="BF7" s="30" t="str">
        <f t="shared" si="2"/>
        <v>SC</v>
      </c>
      <c r="BG7" s="30" t="str">
        <f t="shared" si="3"/>
        <v>C</v>
      </c>
      <c r="BH7" s="30" t="str">
        <f t="shared" si="4"/>
        <v>M</v>
      </c>
      <c r="BI7" s="30" t="str">
        <f t="shared" si="5"/>
        <v>S</v>
      </c>
      <c r="BJ7" s="13"/>
      <c r="BK7" s="56" t="s">
        <v>79</v>
      </c>
      <c r="BL7" s="13"/>
      <c r="BM7" s="13" t="s">
        <v>449</v>
      </c>
      <c r="BN7" s="341">
        <v>1.4209319726085581</v>
      </c>
      <c r="BO7" s="341">
        <v>1.8175247624557851</v>
      </c>
      <c r="BP7" s="341">
        <v>2.1845707956173239</v>
      </c>
      <c r="BQ7" s="13">
        <v>65</v>
      </c>
      <c r="BR7" s="13" t="s">
        <v>129</v>
      </c>
      <c r="BS7" s="13" t="s">
        <v>66</v>
      </c>
      <c r="BT7" s="13" t="s">
        <v>130</v>
      </c>
      <c r="BU7" s="13" t="s">
        <v>131</v>
      </c>
      <c r="BV7" s="15">
        <v>10</v>
      </c>
      <c r="BW7" s="15">
        <v>10</v>
      </c>
      <c r="BX7" s="15">
        <v>1</v>
      </c>
      <c r="BY7" s="15">
        <v>4.0620000000000003</v>
      </c>
      <c r="BZ7" s="15">
        <v>6.04</v>
      </c>
      <c r="CA7" s="15" t="s">
        <v>69</v>
      </c>
      <c r="CB7" s="15">
        <v>80.330399999999997</v>
      </c>
      <c r="CC7" s="15">
        <v>153.61841799999999</v>
      </c>
      <c r="CD7" s="15">
        <v>1952.8908310981305</v>
      </c>
      <c r="CE7" s="15" t="s">
        <v>68</v>
      </c>
      <c r="CF7" s="15">
        <v>1.75</v>
      </c>
      <c r="CG7" s="15">
        <v>60.164000000000001</v>
      </c>
      <c r="CH7" s="15">
        <v>0.02</v>
      </c>
      <c r="CI7" s="15">
        <v>363.91399999999999</v>
      </c>
      <c r="CJ7" s="15">
        <v>203</v>
      </c>
      <c r="CK7" s="15" t="s">
        <v>71</v>
      </c>
      <c r="CL7" s="15">
        <v>250</v>
      </c>
      <c r="CM7" s="15" t="s">
        <v>132</v>
      </c>
      <c r="CN7" s="15">
        <v>0</v>
      </c>
      <c r="CO7" s="15" t="s">
        <v>73</v>
      </c>
      <c r="CP7" s="15" t="s">
        <v>133</v>
      </c>
      <c r="CQ7" s="15" t="s">
        <v>70</v>
      </c>
      <c r="CR7" s="15" t="s">
        <v>70</v>
      </c>
      <c r="CS7" s="15" t="s">
        <v>156</v>
      </c>
      <c r="CT7" s="15" t="s">
        <v>70</v>
      </c>
      <c r="CU7" s="15" t="s">
        <v>73</v>
      </c>
      <c r="CV7" s="15" t="s">
        <v>70</v>
      </c>
      <c r="CW7" s="15" t="s">
        <v>70</v>
      </c>
      <c r="CX7" s="15" t="s">
        <v>70</v>
      </c>
      <c r="CY7" s="15">
        <v>13.34</v>
      </c>
      <c r="CZ7" s="15" t="s">
        <v>68</v>
      </c>
      <c r="DA7" s="15" t="s">
        <v>68</v>
      </c>
      <c r="DB7" s="15" t="s">
        <v>75</v>
      </c>
      <c r="DC7" s="15">
        <v>546795</v>
      </c>
      <c r="DD7" s="15">
        <v>256</v>
      </c>
      <c r="DE7" s="15">
        <v>200</v>
      </c>
      <c r="DF7" s="15">
        <v>1000000</v>
      </c>
      <c r="DG7" s="15">
        <v>6</v>
      </c>
      <c r="DH7" s="15">
        <v>5.6</v>
      </c>
      <c r="DI7" s="15">
        <v>1.1000000000000001</v>
      </c>
      <c r="DJ7" s="15">
        <v>0.27</v>
      </c>
      <c r="DK7" s="15">
        <v>21.5</v>
      </c>
      <c r="DL7" s="15">
        <v>21.5</v>
      </c>
      <c r="DM7" s="15">
        <v>58</v>
      </c>
      <c r="DN7" s="15" t="s">
        <v>76</v>
      </c>
    </row>
    <row r="8" spans="1:118">
      <c r="A8" s="221" t="str">
        <f>IF(B8&lt;&gt;"",G8&amp;"-"&amp;BG8&amp;BF8&amp;AQ8&amp;"-"&amp;BH8&amp;BE8&amp;BI8&amp;TEXT(ROUND(K8,0),"00")&amp;"-"&amp;TEXT(F8,"0000"),"")</f>
        <v>HVIL-CSCRT-MAS06-0003</v>
      </c>
      <c r="B8" s="222">
        <v>43838</v>
      </c>
      <c r="C8" s="632"/>
      <c r="D8" s="632"/>
      <c r="E8" s="632"/>
      <c r="F8" s="223">
        <v>3</v>
      </c>
      <c r="G8" s="224" t="s">
        <v>65</v>
      </c>
      <c r="H8" s="225" t="s">
        <v>66</v>
      </c>
      <c r="I8" s="226" t="s">
        <v>67</v>
      </c>
      <c r="J8" s="226" t="s">
        <v>68</v>
      </c>
      <c r="K8" s="225">
        <v>6.4</v>
      </c>
      <c r="L8" s="225">
        <v>6.4</v>
      </c>
      <c r="M8" s="225">
        <v>1</v>
      </c>
      <c r="N8" s="227">
        <v>0.36199999999999999</v>
      </c>
      <c r="O8" s="229">
        <v>2.2919999999999998</v>
      </c>
      <c r="P8" s="225" t="s">
        <v>69</v>
      </c>
      <c r="Q8" s="53" t="s">
        <v>68</v>
      </c>
      <c r="R8" s="228" t="s">
        <v>70</v>
      </c>
      <c r="S8" s="458">
        <v>6900</v>
      </c>
      <c r="T8" s="537" t="s">
        <v>68</v>
      </c>
      <c r="U8" s="229">
        <v>1.2030000000000001</v>
      </c>
      <c r="V8" s="229">
        <v>109.962</v>
      </c>
      <c r="W8" s="229">
        <v>0.02</v>
      </c>
      <c r="X8" s="229">
        <v>365</v>
      </c>
      <c r="Y8" s="227">
        <v>200</v>
      </c>
      <c r="Z8" s="225" t="s">
        <v>71</v>
      </c>
      <c r="AA8" s="230">
        <v>140</v>
      </c>
      <c r="AB8" s="265" t="s">
        <v>72</v>
      </c>
      <c r="AC8" s="39">
        <v>0</v>
      </c>
      <c r="AD8" s="41" t="s">
        <v>73</v>
      </c>
      <c r="AE8" s="231" t="s">
        <v>78</v>
      </c>
      <c r="AF8" s="40" t="str">
        <f t="shared" si="6"/>
        <v>N/A</v>
      </c>
      <c r="AG8" s="40" t="str">
        <f t="shared" si="6"/>
        <v>N/A</v>
      </c>
      <c r="AH8" s="231" t="s">
        <v>68</v>
      </c>
      <c r="AI8" s="40" t="str">
        <f t="shared" si="7"/>
        <v>N/A</v>
      </c>
      <c r="AJ8" s="231" t="s">
        <v>73</v>
      </c>
      <c r="AK8" s="231" t="str">
        <f t="shared" si="0"/>
        <v>N/A</v>
      </c>
      <c r="AL8" s="231" t="s">
        <v>70</v>
      </c>
      <c r="AM8" s="231" t="str">
        <f t="shared" si="0"/>
        <v>N/A</v>
      </c>
      <c r="AN8" s="292" t="s">
        <v>68</v>
      </c>
      <c r="AO8" s="292" t="s">
        <v>68</v>
      </c>
      <c r="AP8" s="291" t="str">
        <f t="shared" si="8"/>
        <v>N/R</v>
      </c>
      <c r="AQ8" s="231" t="s">
        <v>75</v>
      </c>
      <c r="AR8" s="286">
        <v>190000</v>
      </c>
      <c r="AS8" s="233">
        <v>128</v>
      </c>
      <c r="AT8" s="233">
        <v>200</v>
      </c>
      <c r="AU8" s="232">
        <v>1000000</v>
      </c>
      <c r="AV8" s="278" t="s">
        <v>68</v>
      </c>
      <c r="AW8" s="278" t="s">
        <v>68</v>
      </c>
      <c r="AX8" s="262" t="s">
        <v>68</v>
      </c>
      <c r="AY8" s="281" t="s">
        <v>68</v>
      </c>
      <c r="AZ8" s="270">
        <v>20.9</v>
      </c>
      <c r="BA8" s="270">
        <v>20.9</v>
      </c>
      <c r="BB8" s="227">
        <v>39</v>
      </c>
      <c r="BC8" s="234" t="s">
        <v>76</v>
      </c>
      <c r="BD8" s="29"/>
      <c r="BE8" s="235" t="str">
        <f t="shared" si="1"/>
        <v>A</v>
      </c>
      <c r="BF8" s="235" t="str">
        <f t="shared" si="2"/>
        <v>SC</v>
      </c>
      <c r="BG8" s="235" t="str">
        <f t="shared" si="3"/>
        <v>C</v>
      </c>
      <c r="BH8" s="235" t="str">
        <f t="shared" si="4"/>
        <v>M</v>
      </c>
      <c r="BI8" s="235" t="str">
        <f t="shared" si="5"/>
        <v>S</v>
      </c>
      <c r="BJ8" s="13"/>
      <c r="BK8" s="236" t="s">
        <v>80</v>
      </c>
      <c r="BL8" s="13"/>
      <c r="BM8" s="13" t="s">
        <v>450</v>
      </c>
      <c r="BN8" s="341">
        <v>0.99807098079635348</v>
      </c>
      <c r="BO8" s="341">
        <v>1.379878090297852</v>
      </c>
      <c r="BP8" s="341">
        <v>1.7625469324957159</v>
      </c>
      <c r="BQ8" s="13">
        <v>67</v>
      </c>
      <c r="BR8" s="13" t="s">
        <v>82</v>
      </c>
      <c r="BS8" s="13" t="s">
        <v>66</v>
      </c>
      <c r="BT8" s="13" t="s">
        <v>87</v>
      </c>
      <c r="BU8" s="13" t="s">
        <v>105</v>
      </c>
      <c r="BV8" s="15">
        <v>10</v>
      </c>
      <c r="BW8" s="15">
        <v>10</v>
      </c>
      <c r="BX8" s="15">
        <v>1</v>
      </c>
      <c r="BY8" s="15">
        <v>1.4159999999999999</v>
      </c>
      <c r="BZ8" s="15">
        <v>3.4009999999999998</v>
      </c>
      <c r="CA8" s="15" t="s">
        <v>69</v>
      </c>
      <c r="CB8" s="15">
        <v>58.670900000000003</v>
      </c>
      <c r="CC8" s="15">
        <v>45.893689999999999</v>
      </c>
      <c r="CD8" s="15">
        <v>6536.8463507728411</v>
      </c>
      <c r="CE8" s="15" t="s">
        <v>68</v>
      </c>
      <c r="CF8" s="15">
        <v>1.7509999999999999</v>
      </c>
      <c r="CG8" s="15">
        <v>149.96100000000001</v>
      </c>
      <c r="CH8" s="15">
        <v>0.02</v>
      </c>
      <c r="CI8" s="15">
        <v>363.55900000000003</v>
      </c>
      <c r="CJ8" s="15">
        <v>76</v>
      </c>
      <c r="CK8" s="15" t="s">
        <v>71</v>
      </c>
      <c r="CL8" s="15">
        <v>200</v>
      </c>
      <c r="CM8" s="15" t="s">
        <v>83</v>
      </c>
      <c r="CN8" s="15">
        <v>0</v>
      </c>
      <c r="CO8" s="15" t="s">
        <v>73</v>
      </c>
      <c r="CP8" s="15" t="s">
        <v>108</v>
      </c>
      <c r="CQ8" s="15" t="s">
        <v>70</v>
      </c>
      <c r="CR8" s="15" t="s">
        <v>70</v>
      </c>
      <c r="CS8" s="15" t="s">
        <v>109</v>
      </c>
      <c r="CT8" s="15" t="s">
        <v>70</v>
      </c>
      <c r="CU8" s="15" t="s">
        <v>73</v>
      </c>
      <c r="CV8" s="15" t="s">
        <v>70</v>
      </c>
      <c r="CW8" s="15" t="s">
        <v>70</v>
      </c>
      <c r="CX8" s="15" t="s">
        <v>70</v>
      </c>
      <c r="CY8" s="15">
        <v>0.58857000000000004</v>
      </c>
      <c r="CZ8" s="15">
        <v>0.58477999999999997</v>
      </c>
      <c r="DA8" s="15">
        <v>3.7900000000000711E-3</v>
      </c>
      <c r="DB8" s="15" t="s">
        <v>75</v>
      </c>
      <c r="DC8" s="15">
        <v>164370</v>
      </c>
      <c r="DD8" s="15">
        <v>128</v>
      </c>
      <c r="DE8" s="15">
        <v>200</v>
      </c>
      <c r="DF8" s="15">
        <v>1000000</v>
      </c>
      <c r="DG8" s="15">
        <v>6</v>
      </c>
      <c r="DH8" s="15">
        <v>5.6</v>
      </c>
      <c r="DI8" s="15">
        <v>1.1000000000000001</v>
      </c>
      <c r="DJ8" s="15">
        <v>0.34</v>
      </c>
      <c r="DK8" s="15">
        <v>21.4</v>
      </c>
      <c r="DL8" s="15">
        <v>21.4</v>
      </c>
      <c r="DM8" s="15">
        <v>58</v>
      </c>
      <c r="DN8" s="15" t="s">
        <v>76</v>
      </c>
    </row>
    <row r="9" spans="1:118" s="220" customFormat="1">
      <c r="A9" s="244" t="str">
        <f>IF(B9&lt;&gt;"",G9&amp;"-"&amp;BG9&amp;BF9&amp;AQ9&amp;"-"&amp;BH9&amp;BE9&amp;BI9&amp;TEXT(ROUND(K9,0),"00")&amp;"-"&amp;TEXT(F9,"0000"),"")</f>
        <v>HVIL-CSCRT-MAS06-0004</v>
      </c>
      <c r="B9" s="243">
        <v>43852.430555555555</v>
      </c>
      <c r="C9" s="243"/>
      <c r="D9" s="243"/>
      <c r="E9" s="243"/>
      <c r="F9" s="237">
        <v>4</v>
      </c>
      <c r="G9" s="238" t="s">
        <v>65</v>
      </c>
      <c r="H9" s="39" t="s">
        <v>66</v>
      </c>
      <c r="I9" s="239" t="s">
        <v>67</v>
      </c>
      <c r="J9" s="239" t="s">
        <v>68</v>
      </c>
      <c r="K9" s="39">
        <v>6.4</v>
      </c>
      <c r="L9" s="39">
        <v>6.4</v>
      </c>
      <c r="M9" s="39">
        <v>1</v>
      </c>
      <c r="N9" s="31">
        <v>0.36199999999999999</v>
      </c>
      <c r="O9" s="60">
        <v>2.2970000000000002</v>
      </c>
      <c r="P9" s="39" t="s">
        <v>69</v>
      </c>
      <c r="Q9" s="53" t="s">
        <v>68</v>
      </c>
      <c r="R9" s="240">
        <v>74.8</v>
      </c>
      <c r="S9" s="459">
        <f>distx/(R9*10^-6)</f>
        <v>4010.6951871657757</v>
      </c>
      <c r="T9" s="537" t="s">
        <v>68</v>
      </c>
      <c r="U9" s="60">
        <v>1.2150000000000001</v>
      </c>
      <c r="V9" s="60">
        <v>110.012</v>
      </c>
      <c r="W9" s="60">
        <v>0.02</v>
      </c>
      <c r="X9" s="60">
        <v>365</v>
      </c>
      <c r="Y9" s="31">
        <v>250</v>
      </c>
      <c r="Z9" s="39" t="s">
        <v>71</v>
      </c>
      <c r="AA9" s="31">
        <v>140</v>
      </c>
      <c r="AB9" s="267" t="s">
        <v>72</v>
      </c>
      <c r="AC9" s="39">
        <v>0</v>
      </c>
      <c r="AD9" s="41" t="s">
        <v>73</v>
      </c>
      <c r="AE9" s="239" t="s">
        <v>78</v>
      </c>
      <c r="AF9" s="40" t="str">
        <f t="shared" si="6"/>
        <v>N/A</v>
      </c>
      <c r="AG9" s="40" t="str">
        <f t="shared" si="6"/>
        <v>N/A</v>
      </c>
      <c r="AH9" s="239" t="s">
        <v>68</v>
      </c>
      <c r="AI9" s="40" t="str">
        <f t="shared" si="7"/>
        <v>N/A</v>
      </c>
      <c r="AJ9" s="239" t="s">
        <v>73</v>
      </c>
      <c r="AK9" s="239" t="str">
        <f t="shared" si="0"/>
        <v>N/A</v>
      </c>
      <c r="AL9" s="239" t="s">
        <v>70</v>
      </c>
      <c r="AM9" s="239" t="str">
        <f t="shared" si="0"/>
        <v>N/A</v>
      </c>
      <c r="AN9" s="293" t="s">
        <v>68</v>
      </c>
      <c r="AO9" s="293" t="s">
        <v>68</v>
      </c>
      <c r="AP9" s="291" t="str">
        <f t="shared" si="8"/>
        <v>N/R</v>
      </c>
      <c r="AQ9" s="239" t="s">
        <v>75</v>
      </c>
      <c r="AR9" s="287">
        <v>180000</v>
      </c>
      <c r="AS9" s="242">
        <v>128</v>
      </c>
      <c r="AT9" s="242">
        <v>200</v>
      </c>
      <c r="AU9" s="241">
        <v>500000</v>
      </c>
      <c r="AV9" s="278" t="s">
        <v>68</v>
      </c>
      <c r="AW9" s="278" t="s">
        <v>68</v>
      </c>
      <c r="AX9" s="262" t="s">
        <v>68</v>
      </c>
      <c r="AY9" s="281" t="s">
        <v>68</v>
      </c>
      <c r="AZ9" s="274">
        <v>20.8</v>
      </c>
      <c r="BA9" s="271">
        <v>20.8</v>
      </c>
      <c r="BB9" s="31">
        <v>40</v>
      </c>
      <c r="BC9" s="39" t="s">
        <v>76</v>
      </c>
      <c r="BD9" s="29"/>
      <c r="BE9" s="29" t="str">
        <f t="shared" ref="BE9:BE40" si="9">IF(I9&lt;&gt;"",MID(I9,SEARCH("(",I9)+1,SEARCH(")",I9)-SEARCH("(",I9)-1),"")</f>
        <v>A</v>
      </c>
      <c r="BF9" s="29" t="str">
        <f t="shared" ref="BF9:BF40" si="10">IF(AE9&lt;&gt;"",MID(AE9,SEARCH("(",AE9)+1,SEARCH(")",AE9)-SEARCH("(",AE9)-1),"")</f>
        <v>SC</v>
      </c>
      <c r="BG9" s="29" t="str">
        <f t="shared" ref="BG9:BG40" si="11">IF(AB9&lt;&gt;"",LEFT(AB9,1),"")</f>
        <v>C</v>
      </c>
      <c r="BH9" s="29" t="str">
        <f t="shared" ref="BH9:BH40" si="12">IF(H9&lt;&gt;"",LEFT(H9,1),"")</f>
        <v>M</v>
      </c>
      <c r="BI9" s="29" t="str">
        <f t="shared" ref="BI9:BI40" si="13">IF(P9&lt;&gt;"",MID(P9,SEARCH("(",P9)+1,SEARCH(")",P9)-SEARCH("(",P9)-1),"")</f>
        <v>S</v>
      </c>
      <c r="BJ9" s="29"/>
      <c r="BK9" s="31" t="s">
        <v>81</v>
      </c>
      <c r="BL9" s="29"/>
      <c r="BM9" s="29" t="s">
        <v>451</v>
      </c>
      <c r="BN9" s="341">
        <v>1.120291786925776</v>
      </c>
      <c r="BO9" s="341">
        <v>1.5029097664694251</v>
      </c>
      <c r="BP9" s="341">
        <v>1.881606142798772</v>
      </c>
      <c r="BQ9" s="29">
        <v>69</v>
      </c>
      <c r="BR9" s="29" t="s">
        <v>82</v>
      </c>
      <c r="BS9" s="29" t="s">
        <v>66</v>
      </c>
      <c r="BT9" s="29" t="s">
        <v>87</v>
      </c>
      <c r="BU9" s="29" t="s">
        <v>105</v>
      </c>
      <c r="BV9" s="220">
        <v>10</v>
      </c>
      <c r="BW9" s="220">
        <v>10</v>
      </c>
      <c r="BX9" s="220">
        <v>1</v>
      </c>
      <c r="BY9" s="220">
        <v>1.4119999999999999</v>
      </c>
      <c r="BZ9" s="220">
        <v>3.3870999999999998</v>
      </c>
      <c r="CA9" s="220" t="s">
        <v>69</v>
      </c>
      <c r="CB9" s="220">
        <v>49.231200000000001</v>
      </c>
      <c r="CC9" s="220">
        <v>47.653331000000001</v>
      </c>
      <c r="CD9" s="220">
        <v>6295.467571826196</v>
      </c>
      <c r="CE9" s="220" t="s">
        <v>68</v>
      </c>
      <c r="CF9" s="220">
        <v>1.75</v>
      </c>
      <c r="CG9" s="220">
        <v>150.00299999999999</v>
      </c>
      <c r="CH9" s="220">
        <v>0.02</v>
      </c>
      <c r="CI9" s="220">
        <v>363.87</v>
      </c>
      <c r="CJ9" s="220">
        <v>75</v>
      </c>
      <c r="CK9" s="220" t="s">
        <v>71</v>
      </c>
      <c r="CL9" s="220">
        <v>250</v>
      </c>
      <c r="CM9" s="220" t="s">
        <v>83</v>
      </c>
      <c r="CN9" s="220">
        <v>0</v>
      </c>
      <c r="CO9" s="220" t="s">
        <v>73</v>
      </c>
      <c r="CP9" s="220" t="s">
        <v>108</v>
      </c>
      <c r="CQ9" s="220" t="s">
        <v>70</v>
      </c>
      <c r="CR9" s="220" t="s">
        <v>70</v>
      </c>
      <c r="CS9" s="220" t="s">
        <v>109</v>
      </c>
      <c r="CT9" s="220" t="s">
        <v>70</v>
      </c>
      <c r="CU9" s="220" t="s">
        <v>73</v>
      </c>
      <c r="CV9" s="220" t="s">
        <v>70</v>
      </c>
      <c r="CW9" s="220" t="s">
        <v>70</v>
      </c>
      <c r="CX9" s="220" t="s">
        <v>70</v>
      </c>
      <c r="CY9" s="220">
        <v>0.57662999999999998</v>
      </c>
      <c r="CZ9" s="220">
        <v>0.57287999999999994</v>
      </c>
      <c r="DA9" s="220">
        <v>3.7500000000000311E-3</v>
      </c>
      <c r="DB9" s="220" t="s">
        <v>75</v>
      </c>
      <c r="DC9" s="220">
        <v>170588</v>
      </c>
      <c r="DD9" s="220">
        <v>128</v>
      </c>
      <c r="DE9" s="220">
        <v>200</v>
      </c>
      <c r="DF9" s="220">
        <v>1000000</v>
      </c>
      <c r="DG9" s="220">
        <v>6</v>
      </c>
      <c r="DH9" s="220">
        <v>5.6</v>
      </c>
      <c r="DI9" s="220">
        <v>1.1000000000000001</v>
      </c>
      <c r="DJ9" s="220">
        <v>0.34</v>
      </c>
      <c r="DK9" s="220">
        <v>21.7</v>
      </c>
      <c r="DL9" s="220">
        <v>21.7</v>
      </c>
      <c r="DM9" s="220">
        <v>58</v>
      </c>
      <c r="DN9" s="220" t="s">
        <v>76</v>
      </c>
    </row>
    <row r="10" spans="1:118">
      <c r="A10" s="25" t="str">
        <f>IF(B10&lt;&gt;"",G10&amp;"-"&amp;BF10&amp;"-"&amp;AQ10&amp;"-"&amp;BE10&amp;"-"&amp;BI10&amp;TEXT(ROUND(K10,1),"00.0")&amp;"-"&amp;TEXT(F10,"0000"),"")</f>
        <v>HVIL001-AL-RT-PC-C12.7-0005</v>
      </c>
      <c r="B10" s="47">
        <v>43885.604166666664</v>
      </c>
      <c r="C10" s="632"/>
      <c r="D10" s="632"/>
      <c r="E10" s="632"/>
      <c r="F10" s="198">
        <v>5</v>
      </c>
      <c r="G10" s="44" t="s">
        <v>82</v>
      </c>
      <c r="H10" s="37" t="s">
        <v>83</v>
      </c>
      <c r="I10" s="45" t="s">
        <v>84</v>
      </c>
      <c r="J10" s="45" t="s">
        <v>85</v>
      </c>
      <c r="K10" s="37">
        <v>12.7</v>
      </c>
      <c r="L10" s="37" t="s">
        <v>70</v>
      </c>
      <c r="M10" s="629">
        <v>1.66</v>
      </c>
      <c r="N10" s="63">
        <v>3.18</v>
      </c>
      <c r="O10" s="63">
        <v>3.18</v>
      </c>
      <c r="P10" s="37" t="s">
        <v>86</v>
      </c>
      <c r="Q10" s="53" t="s">
        <v>68</v>
      </c>
      <c r="R10" s="53">
        <v>66.437923999999995</v>
      </c>
      <c r="S10" s="457">
        <f>distx/(R10*10^-6)</f>
        <v>4515.4932896458358</v>
      </c>
      <c r="T10" s="537" t="s">
        <v>68</v>
      </c>
      <c r="U10" s="63">
        <v>1.206</v>
      </c>
      <c r="V10" s="63">
        <v>110</v>
      </c>
      <c r="W10" s="63">
        <v>0.02</v>
      </c>
      <c r="X10" s="63">
        <v>363.24799999999999</v>
      </c>
      <c r="Y10" s="27">
        <v>198</v>
      </c>
      <c r="Z10" s="37" t="s">
        <v>71</v>
      </c>
      <c r="AA10" s="27">
        <v>142</v>
      </c>
      <c r="AB10" s="37" t="s">
        <v>66</v>
      </c>
      <c r="AC10" s="37">
        <v>0</v>
      </c>
      <c r="AD10" s="37" t="s">
        <v>73</v>
      </c>
      <c r="AE10" s="40" t="s">
        <v>87</v>
      </c>
      <c r="AF10" s="40" t="str">
        <f t="shared" si="6"/>
        <v>N/A</v>
      </c>
      <c r="AG10" s="40" t="str">
        <f t="shared" si="6"/>
        <v>N/A</v>
      </c>
      <c r="AH10" s="40" t="s">
        <v>68</v>
      </c>
      <c r="AI10" s="40" t="str">
        <f t="shared" si="7"/>
        <v>N/A</v>
      </c>
      <c r="AJ10" s="40" t="s">
        <v>73</v>
      </c>
      <c r="AK10" s="40" t="str">
        <f t="shared" si="0"/>
        <v>N/A</v>
      </c>
      <c r="AL10" s="40" t="s">
        <v>68</v>
      </c>
      <c r="AM10" s="40" t="str">
        <f t="shared" si="0"/>
        <v>N/A</v>
      </c>
      <c r="AN10" s="291" t="s">
        <v>68</v>
      </c>
      <c r="AO10" s="291" t="s">
        <v>68</v>
      </c>
      <c r="AP10" s="291" t="str">
        <f t="shared" si="8"/>
        <v>N/R</v>
      </c>
      <c r="AQ10" s="40" t="s">
        <v>75</v>
      </c>
      <c r="AR10" s="285">
        <v>180000</v>
      </c>
      <c r="AS10" s="28">
        <v>128</v>
      </c>
      <c r="AT10" s="28">
        <v>200</v>
      </c>
      <c r="AU10" s="34">
        <v>200000</v>
      </c>
      <c r="AV10" s="278" t="s">
        <v>68</v>
      </c>
      <c r="AW10" s="278" t="s">
        <v>68</v>
      </c>
      <c r="AX10" s="262" t="s">
        <v>68</v>
      </c>
      <c r="AY10" s="281" t="s">
        <v>68</v>
      </c>
      <c r="AZ10" s="61">
        <v>21</v>
      </c>
      <c r="BA10" s="199">
        <v>21</v>
      </c>
      <c r="BB10" s="27">
        <v>43</v>
      </c>
      <c r="BC10" s="42" t="s">
        <v>76</v>
      </c>
      <c r="BD10" s="29"/>
      <c r="BE10" s="30" t="str">
        <f t="shared" si="9"/>
        <v>PC</v>
      </c>
      <c r="BF10" s="30" t="str">
        <f t="shared" si="10"/>
        <v>AL</v>
      </c>
      <c r="BG10" s="30" t="str">
        <f t="shared" si="11"/>
        <v>M</v>
      </c>
      <c r="BH10" s="30" t="str">
        <f t="shared" si="12"/>
        <v>P</v>
      </c>
      <c r="BI10" s="30" t="str">
        <f t="shared" si="13"/>
        <v>C</v>
      </c>
      <c r="BJ10" s="13"/>
      <c r="BK10" s="30" t="s">
        <v>88</v>
      </c>
      <c r="BL10" s="13"/>
      <c r="BM10" s="13" t="s">
        <v>452</v>
      </c>
      <c r="BN10" s="341">
        <v>0.99517606999609587</v>
      </c>
      <c r="BO10" s="341">
        <v>1.3897531216707391</v>
      </c>
      <c r="BP10" s="341">
        <v>1.808390982327742</v>
      </c>
      <c r="BQ10" s="13">
        <v>70</v>
      </c>
      <c r="BR10" s="13" t="s">
        <v>82</v>
      </c>
      <c r="BS10" s="13" t="s">
        <v>66</v>
      </c>
      <c r="BT10" s="13" t="s">
        <v>87</v>
      </c>
      <c r="BU10" s="13" t="s">
        <v>105</v>
      </c>
      <c r="BV10" s="15">
        <v>10</v>
      </c>
      <c r="BW10" s="15">
        <v>10</v>
      </c>
      <c r="BX10" s="15">
        <v>1</v>
      </c>
      <c r="BY10" s="15">
        <v>1.4139999999999999</v>
      </c>
      <c r="BZ10" s="15">
        <v>3.3820000000000001</v>
      </c>
      <c r="CA10" s="15" t="s">
        <v>69</v>
      </c>
      <c r="CB10" s="15">
        <v>58.081400000000002</v>
      </c>
      <c r="CC10" s="15">
        <v>47.979515999999997</v>
      </c>
      <c r="CD10" s="15">
        <v>6252.6683262082097</v>
      </c>
      <c r="CE10" s="15" t="s">
        <v>68</v>
      </c>
      <c r="CF10" s="15">
        <v>1.75</v>
      </c>
      <c r="CG10" s="15">
        <v>145.00299999999999</v>
      </c>
      <c r="CH10" s="15">
        <v>0.02</v>
      </c>
      <c r="CI10" s="15">
        <v>363.81099999999998</v>
      </c>
      <c r="CJ10" s="15">
        <v>75</v>
      </c>
      <c r="CK10" s="15" t="s">
        <v>71</v>
      </c>
      <c r="CL10" s="15">
        <v>220</v>
      </c>
      <c r="CM10" s="15" t="s">
        <v>83</v>
      </c>
      <c r="CN10" s="15">
        <v>0</v>
      </c>
      <c r="CO10" s="15" t="s">
        <v>73</v>
      </c>
      <c r="CP10" s="15" t="s">
        <v>108</v>
      </c>
      <c r="CQ10" s="15" t="s">
        <v>70</v>
      </c>
      <c r="CR10" s="15" t="s">
        <v>70</v>
      </c>
      <c r="CS10" s="15" t="s">
        <v>109</v>
      </c>
      <c r="CT10" s="15" t="s">
        <v>70</v>
      </c>
      <c r="CU10" s="15" t="s">
        <v>73</v>
      </c>
      <c r="CV10" s="15" t="s">
        <v>70</v>
      </c>
      <c r="CW10" s="15" t="s">
        <v>70</v>
      </c>
      <c r="CX10" s="15" t="s">
        <v>70</v>
      </c>
      <c r="CY10" s="15">
        <v>0.58765999999999996</v>
      </c>
      <c r="CZ10" s="15">
        <v>0.58359000000000005</v>
      </c>
      <c r="DA10" s="15">
        <v>4.069999999999907E-3</v>
      </c>
      <c r="DB10" s="15" t="s">
        <v>75</v>
      </c>
      <c r="DC10" s="15">
        <v>171729</v>
      </c>
      <c r="DD10" s="15">
        <v>128</v>
      </c>
      <c r="DE10" s="15">
        <v>200</v>
      </c>
      <c r="DF10" s="15">
        <v>1000000</v>
      </c>
      <c r="DG10" s="15">
        <v>6</v>
      </c>
      <c r="DH10" s="15">
        <v>5.6</v>
      </c>
      <c r="DI10" s="15">
        <v>1.1000000000000001</v>
      </c>
      <c r="DJ10" s="15">
        <v>0.34</v>
      </c>
      <c r="DK10" s="15">
        <v>21.4</v>
      </c>
      <c r="DL10" s="15">
        <v>21.4</v>
      </c>
      <c r="DM10" s="15">
        <v>41</v>
      </c>
      <c r="DN10" s="15" t="s">
        <v>76</v>
      </c>
    </row>
    <row r="11" spans="1:118">
      <c r="A11" s="25" t="str">
        <f>IF(B11&lt;&gt;"",G11&amp;"-"&amp;BF11&amp;"-"&amp;AQ11&amp;"-"&amp;BE11&amp;"-"&amp;BI11&amp;TEXT(ROUND(K11,1),"00.0")&amp;"-"&amp;TEXT(F11,"0000"),"")</f>
        <v>HVIL001-AL-RT-PC-C12.7-0006</v>
      </c>
      <c r="B11" s="48">
        <v>43886.5</v>
      </c>
      <c r="C11" s="632"/>
      <c r="D11" s="632"/>
      <c r="E11" s="632"/>
      <c r="F11" s="50">
        <v>6</v>
      </c>
      <c r="G11" s="44" t="s">
        <v>82</v>
      </c>
      <c r="H11" s="37" t="s">
        <v>83</v>
      </c>
      <c r="I11" s="45" t="s">
        <v>84</v>
      </c>
      <c r="J11" s="45" t="s">
        <v>85</v>
      </c>
      <c r="K11" s="39">
        <v>12.7</v>
      </c>
      <c r="L11" s="39" t="s">
        <v>70</v>
      </c>
      <c r="M11" s="629">
        <v>1.66</v>
      </c>
      <c r="N11" s="31">
        <v>3.1779999999999999</v>
      </c>
      <c r="O11" s="60">
        <v>3.1779999999999999</v>
      </c>
      <c r="P11" s="37" t="s">
        <v>86</v>
      </c>
      <c r="Q11" s="53" t="s">
        <v>68</v>
      </c>
      <c r="R11" s="53">
        <v>57.448661999999999</v>
      </c>
      <c r="S11" s="457">
        <f>distx/(R11*10^-6)</f>
        <v>5222.0537355595861</v>
      </c>
      <c r="T11" s="537" t="s">
        <v>68</v>
      </c>
      <c r="U11" s="60">
        <v>1.206</v>
      </c>
      <c r="V11" s="60">
        <v>110.005</v>
      </c>
      <c r="W11" s="63">
        <v>0.02</v>
      </c>
      <c r="X11" s="60">
        <v>363.73599999999999</v>
      </c>
      <c r="Y11" s="31">
        <v>1</v>
      </c>
      <c r="Z11" s="37" t="s">
        <v>71</v>
      </c>
      <c r="AA11" s="31">
        <v>141</v>
      </c>
      <c r="AB11" s="39" t="s">
        <v>66</v>
      </c>
      <c r="AC11" s="37">
        <v>0</v>
      </c>
      <c r="AD11" s="37" t="s">
        <v>73</v>
      </c>
      <c r="AE11" s="40" t="s">
        <v>87</v>
      </c>
      <c r="AF11" s="40" t="str">
        <f t="shared" si="6"/>
        <v>N/A</v>
      </c>
      <c r="AG11" s="40" t="str">
        <f t="shared" si="6"/>
        <v>N/A</v>
      </c>
      <c r="AH11" s="40" t="s">
        <v>68</v>
      </c>
      <c r="AI11" s="40" t="str">
        <f t="shared" si="7"/>
        <v>N/A</v>
      </c>
      <c r="AJ11" s="40" t="s">
        <v>76</v>
      </c>
      <c r="AK11" s="40" t="s">
        <v>87</v>
      </c>
      <c r="AL11" s="40" t="s">
        <v>68</v>
      </c>
      <c r="AM11" s="40">
        <v>10.16</v>
      </c>
      <c r="AN11" s="291" t="s">
        <v>68</v>
      </c>
      <c r="AO11" s="291" t="s">
        <v>68</v>
      </c>
      <c r="AP11" s="291" t="str">
        <f t="shared" si="8"/>
        <v>N/R</v>
      </c>
      <c r="AQ11" s="40" t="s">
        <v>75</v>
      </c>
      <c r="AR11" s="285">
        <v>180000</v>
      </c>
      <c r="AS11" s="28">
        <v>128</v>
      </c>
      <c r="AT11" s="28">
        <v>200</v>
      </c>
      <c r="AU11" s="34">
        <v>200000</v>
      </c>
      <c r="AV11" s="278" t="s">
        <v>68</v>
      </c>
      <c r="AW11" s="278" t="s">
        <v>68</v>
      </c>
      <c r="AX11" s="262" t="s">
        <v>68</v>
      </c>
      <c r="AY11" s="281" t="s">
        <v>68</v>
      </c>
      <c r="AZ11" s="61">
        <v>21.4</v>
      </c>
      <c r="BA11" s="271">
        <v>21.4</v>
      </c>
      <c r="BB11" s="31">
        <v>40</v>
      </c>
      <c r="BC11" s="42" t="s">
        <v>76</v>
      </c>
      <c r="BD11" s="29"/>
      <c r="BE11" s="30" t="str">
        <f t="shared" si="9"/>
        <v>PC</v>
      </c>
      <c r="BF11" s="30" t="str">
        <f t="shared" si="10"/>
        <v>AL</v>
      </c>
      <c r="BG11" s="30" t="str">
        <f t="shared" si="11"/>
        <v>M</v>
      </c>
      <c r="BH11" s="30" t="str">
        <f t="shared" si="12"/>
        <v>P</v>
      </c>
      <c r="BI11" s="30" t="str">
        <f t="shared" si="13"/>
        <v>C</v>
      </c>
      <c r="BJ11" s="13"/>
      <c r="BK11" s="49" t="s">
        <v>89</v>
      </c>
      <c r="BL11" s="13"/>
      <c r="BM11" s="13" t="s">
        <v>453</v>
      </c>
      <c r="BN11" s="341">
        <v>1.0484375871316201</v>
      </c>
      <c r="BO11" s="341">
        <v>1.356073196845903</v>
      </c>
      <c r="BP11" s="341">
        <v>1.687236744460693</v>
      </c>
      <c r="BQ11" s="13">
        <v>74</v>
      </c>
      <c r="BR11" s="13" t="s">
        <v>137</v>
      </c>
      <c r="BS11" s="13" t="s">
        <v>66</v>
      </c>
      <c r="BT11" s="13" t="s">
        <v>87</v>
      </c>
      <c r="BU11" s="13" t="s">
        <v>138</v>
      </c>
      <c r="BV11" s="15">
        <v>4</v>
      </c>
      <c r="BW11" s="15">
        <v>4</v>
      </c>
      <c r="BX11" s="15">
        <v>1</v>
      </c>
      <c r="BY11" s="15">
        <v>9.1999999999999998E-2</v>
      </c>
      <c r="BZ11" s="15">
        <v>2.1349999999999998</v>
      </c>
      <c r="CA11" s="15" t="s">
        <v>69</v>
      </c>
      <c r="CB11" s="15">
        <v>68.819199999999995</v>
      </c>
      <c r="CC11" s="15">
        <v>46.266964999999999</v>
      </c>
      <c r="CD11" s="15">
        <v>6484.1080455569108</v>
      </c>
      <c r="CE11" s="15" t="s">
        <v>68</v>
      </c>
      <c r="CF11" s="15">
        <v>1.748</v>
      </c>
      <c r="CG11" s="15">
        <v>165</v>
      </c>
      <c r="CH11" s="15">
        <v>0.02</v>
      </c>
      <c r="CI11" s="15">
        <v>364.00400000000002</v>
      </c>
      <c r="CJ11" s="15">
        <v>100</v>
      </c>
      <c r="CK11" s="15" t="s">
        <v>71</v>
      </c>
      <c r="CL11" s="15">
        <v>250</v>
      </c>
      <c r="CM11" s="15" t="s">
        <v>83</v>
      </c>
      <c r="CN11" s="15">
        <v>0</v>
      </c>
      <c r="CO11" s="15" t="s">
        <v>73</v>
      </c>
      <c r="CP11" s="15" t="s">
        <v>139</v>
      </c>
      <c r="CQ11" s="15" t="s">
        <v>70</v>
      </c>
      <c r="CR11" s="15" t="s">
        <v>70</v>
      </c>
      <c r="CS11" s="15" t="s">
        <v>140</v>
      </c>
      <c r="CT11" s="15" t="s">
        <v>70</v>
      </c>
      <c r="CU11" s="15" t="s">
        <v>73</v>
      </c>
      <c r="CV11" s="15" t="s">
        <v>70</v>
      </c>
      <c r="CW11" s="15" t="s">
        <v>70</v>
      </c>
      <c r="CX11" s="15" t="s">
        <v>70</v>
      </c>
      <c r="CY11" s="15">
        <v>0.16733000000000001</v>
      </c>
      <c r="CZ11" s="15" t="s">
        <v>68</v>
      </c>
      <c r="DA11" s="15" t="s">
        <v>68</v>
      </c>
      <c r="DB11" s="15" t="s">
        <v>75</v>
      </c>
      <c r="DC11" s="15">
        <v>145597</v>
      </c>
      <c r="DD11" s="15">
        <v>128</v>
      </c>
      <c r="DE11" s="15">
        <v>200</v>
      </c>
      <c r="DF11" s="15">
        <v>1000000</v>
      </c>
      <c r="DG11" s="15">
        <v>6</v>
      </c>
      <c r="DH11" s="15">
        <v>5.6</v>
      </c>
      <c r="DI11" s="15">
        <v>1.1000000000000001</v>
      </c>
      <c r="DJ11" s="15">
        <v>0.34</v>
      </c>
      <c r="DK11" s="15">
        <v>21.2</v>
      </c>
      <c r="DL11" s="15">
        <v>21.2</v>
      </c>
      <c r="DM11" s="15">
        <v>47</v>
      </c>
      <c r="DN11" s="15" t="s">
        <v>73</v>
      </c>
    </row>
    <row r="12" spans="1:118">
      <c r="A12" s="25" t="str">
        <f t="shared" ref="A12:A74" si="14">IF(B12&lt;&gt;"",G12&amp;"-"&amp;BF12&amp;"-"&amp;AQ12&amp;"-"&amp;BE12&amp;"-"&amp;BI12&amp;TEXT(ROUND(K12,1),"00.0")&amp;"-"&amp;TEXT(F12,"0000"),"")</f>
        <v>HVIL001-AL-RT-PC-C12.7-0007</v>
      </c>
      <c r="B12" s="48">
        <v>43886.703472222223</v>
      </c>
      <c r="C12" s="632"/>
      <c r="D12" s="632"/>
      <c r="E12" s="632"/>
      <c r="F12" s="51">
        <v>7</v>
      </c>
      <c r="G12" s="44" t="s">
        <v>82</v>
      </c>
      <c r="H12" s="37" t="s">
        <v>83</v>
      </c>
      <c r="I12" s="45" t="s">
        <v>84</v>
      </c>
      <c r="J12" s="45" t="s">
        <v>85</v>
      </c>
      <c r="K12" s="39">
        <v>12.7</v>
      </c>
      <c r="L12" s="39" t="s">
        <v>70</v>
      </c>
      <c r="M12" s="629">
        <v>1.66</v>
      </c>
      <c r="N12" s="31">
        <v>3.1779999999999999</v>
      </c>
      <c r="O12" s="63">
        <v>3.1779999999999999</v>
      </c>
      <c r="P12" s="37" t="s">
        <v>86</v>
      </c>
      <c r="Q12" s="53" t="s">
        <v>68</v>
      </c>
      <c r="R12" s="53">
        <v>62.160527999999999</v>
      </c>
      <c r="S12" s="457">
        <f>distx/(R12*10^-6)</f>
        <v>4826.2138313883052</v>
      </c>
      <c r="T12" s="537" t="s">
        <v>68</v>
      </c>
      <c r="U12" s="60">
        <v>1.202</v>
      </c>
      <c r="V12" s="60">
        <v>109.997</v>
      </c>
      <c r="W12" s="63">
        <v>0.02</v>
      </c>
      <c r="X12" s="60">
        <v>363.65</v>
      </c>
      <c r="Y12" s="31">
        <v>198</v>
      </c>
      <c r="Z12" s="37" t="s">
        <v>71</v>
      </c>
      <c r="AA12" s="31">
        <v>141</v>
      </c>
      <c r="AB12" s="39" t="s">
        <v>66</v>
      </c>
      <c r="AC12" s="37">
        <v>0</v>
      </c>
      <c r="AD12" s="37" t="s">
        <v>73</v>
      </c>
      <c r="AE12" s="40" t="s">
        <v>87</v>
      </c>
      <c r="AF12" s="40" t="str">
        <f t="shared" si="6"/>
        <v>N/A</v>
      </c>
      <c r="AG12" s="40" t="str">
        <f t="shared" si="6"/>
        <v>N/A</v>
      </c>
      <c r="AH12" s="40" t="s">
        <v>68</v>
      </c>
      <c r="AI12" s="40" t="str">
        <f t="shared" si="7"/>
        <v>N/A</v>
      </c>
      <c r="AJ12" s="40" t="s">
        <v>76</v>
      </c>
      <c r="AK12" s="40" t="s">
        <v>87</v>
      </c>
      <c r="AL12" s="40" t="s">
        <v>68</v>
      </c>
      <c r="AM12" s="40">
        <v>10.16</v>
      </c>
      <c r="AN12" s="291" t="s">
        <v>68</v>
      </c>
      <c r="AO12" s="291" t="s">
        <v>68</v>
      </c>
      <c r="AP12" s="291" t="str">
        <f t="shared" si="8"/>
        <v>N/R</v>
      </c>
      <c r="AQ12" s="40" t="s">
        <v>75</v>
      </c>
      <c r="AR12" s="285">
        <v>180000</v>
      </c>
      <c r="AS12" s="28">
        <v>256</v>
      </c>
      <c r="AT12" s="28">
        <v>200</v>
      </c>
      <c r="AU12" s="34">
        <v>500000</v>
      </c>
      <c r="AV12" s="278" t="s">
        <v>68</v>
      </c>
      <c r="AW12" s="278" t="s">
        <v>68</v>
      </c>
      <c r="AX12" s="262" t="s">
        <v>68</v>
      </c>
      <c r="AY12" s="281" t="s">
        <v>68</v>
      </c>
      <c r="AZ12" s="61">
        <v>21.1</v>
      </c>
      <c r="BA12" s="271">
        <v>21.1</v>
      </c>
      <c r="BB12" s="31">
        <v>39</v>
      </c>
      <c r="BC12" s="42" t="s">
        <v>73</v>
      </c>
      <c r="BD12" s="29"/>
      <c r="BE12" s="30" t="str">
        <f t="shared" si="9"/>
        <v>PC</v>
      </c>
      <c r="BF12" s="30" t="str">
        <f t="shared" si="10"/>
        <v>AL</v>
      </c>
      <c r="BG12" s="30" t="str">
        <f t="shared" si="11"/>
        <v>M</v>
      </c>
      <c r="BH12" s="30" t="str">
        <f t="shared" si="12"/>
        <v>P</v>
      </c>
      <c r="BI12" s="30" t="str">
        <f t="shared" si="13"/>
        <v>C</v>
      </c>
      <c r="BJ12" s="13"/>
      <c r="BK12" s="49" t="s">
        <v>90</v>
      </c>
      <c r="BL12" s="13"/>
      <c r="BM12" s="13" t="s">
        <v>454</v>
      </c>
      <c r="BN12" s="341">
        <v>1.471637921889136</v>
      </c>
      <c r="BO12" s="341">
        <v>1.9463796846801129</v>
      </c>
      <c r="BP12" s="341">
        <v>2.3730409971339772</v>
      </c>
      <c r="BQ12" s="13">
        <v>76</v>
      </c>
      <c r="BR12" s="13" t="s">
        <v>129</v>
      </c>
      <c r="BS12" s="13" t="s">
        <v>66</v>
      </c>
      <c r="BT12" s="13" t="s">
        <v>120</v>
      </c>
      <c r="BU12" s="13" t="s">
        <v>131</v>
      </c>
      <c r="BV12" s="15">
        <v>10</v>
      </c>
      <c r="BW12" s="15">
        <v>10</v>
      </c>
      <c r="BX12" s="15">
        <v>1</v>
      </c>
      <c r="BY12" s="15">
        <v>4.0590000000000002</v>
      </c>
      <c r="BZ12" s="15">
        <v>6.048</v>
      </c>
      <c r="CA12" s="15" t="s">
        <v>69</v>
      </c>
      <c r="CB12" s="15">
        <v>74.525700000000001</v>
      </c>
      <c r="CC12" s="15">
        <v>119.334108</v>
      </c>
      <c r="CD12" s="15">
        <v>2513.9501608375035</v>
      </c>
      <c r="CE12" s="15" t="s">
        <v>68</v>
      </c>
      <c r="CF12" s="15">
        <v>1.75</v>
      </c>
      <c r="CG12" s="15">
        <v>60.003999999999998</v>
      </c>
      <c r="CH12" s="15">
        <v>0.02</v>
      </c>
      <c r="CI12" s="15">
        <v>363.197</v>
      </c>
      <c r="CJ12" s="15">
        <v>200</v>
      </c>
      <c r="CK12" s="15" t="s">
        <v>71</v>
      </c>
      <c r="CL12" s="15">
        <v>250</v>
      </c>
      <c r="CM12" s="15" t="s">
        <v>132</v>
      </c>
      <c r="CN12" s="15">
        <v>0</v>
      </c>
      <c r="CO12" s="15" t="s">
        <v>73</v>
      </c>
      <c r="CP12" s="15" t="s">
        <v>133</v>
      </c>
      <c r="CQ12" s="15" t="s">
        <v>70</v>
      </c>
      <c r="CR12" s="15" t="s">
        <v>70</v>
      </c>
      <c r="CS12" s="15" t="s">
        <v>156</v>
      </c>
      <c r="CT12" s="15" t="s">
        <v>70</v>
      </c>
      <c r="CU12" s="15" t="s">
        <v>73</v>
      </c>
      <c r="CV12" s="15" t="s">
        <v>70</v>
      </c>
      <c r="CW12" s="15" t="s">
        <v>70</v>
      </c>
      <c r="CX12" s="15" t="s">
        <v>70</v>
      </c>
      <c r="CY12" s="15">
        <v>13.045999999999999</v>
      </c>
      <c r="CZ12" s="15" t="s">
        <v>68</v>
      </c>
      <c r="DA12" s="15" t="s">
        <v>68</v>
      </c>
      <c r="DB12" s="15" t="s">
        <v>75</v>
      </c>
      <c r="DC12" s="15">
        <v>464333</v>
      </c>
      <c r="DD12" s="15">
        <v>256</v>
      </c>
      <c r="DE12" s="15">
        <v>200</v>
      </c>
      <c r="DF12" s="15">
        <v>1000000</v>
      </c>
      <c r="DG12" s="15">
        <v>6</v>
      </c>
      <c r="DH12" s="15">
        <v>5.6</v>
      </c>
      <c r="DI12" s="15">
        <v>1.1000000000000001</v>
      </c>
      <c r="DJ12" s="15">
        <v>0.34</v>
      </c>
      <c r="DK12" s="15">
        <v>21.2</v>
      </c>
      <c r="DL12" s="15">
        <v>21.2</v>
      </c>
      <c r="DM12" s="15">
        <v>47</v>
      </c>
      <c r="DN12" s="15" t="s">
        <v>76</v>
      </c>
    </row>
    <row r="13" spans="1:118">
      <c r="A13" s="25" t="str">
        <f>IF(B13&lt;&gt;"",G13&amp;"-"&amp;BF13&amp;"-"&amp;AQ13&amp;"-"&amp;BE13&amp;"-"&amp;BI13&amp;TEXT(ROUND(K13,1),"00.0")&amp;"-"&amp;TEXT(F13,"0000"),"")</f>
        <v>HVIL001-AL-RT-PC-C12.7-0008</v>
      </c>
      <c r="B13" s="48">
        <v>43895.6875</v>
      </c>
      <c r="C13" s="632"/>
      <c r="D13" s="632"/>
      <c r="E13" s="632"/>
      <c r="F13" s="50">
        <v>8</v>
      </c>
      <c r="G13" s="44" t="s">
        <v>82</v>
      </c>
      <c r="H13" s="37" t="s">
        <v>83</v>
      </c>
      <c r="I13" s="45" t="s">
        <v>84</v>
      </c>
      <c r="J13" s="45" t="s">
        <v>85</v>
      </c>
      <c r="K13" s="39">
        <v>12.7</v>
      </c>
      <c r="L13" s="39" t="s">
        <v>70</v>
      </c>
      <c r="M13" s="629">
        <v>1.66</v>
      </c>
      <c r="N13" s="31">
        <v>3.1819999999999999</v>
      </c>
      <c r="O13" s="63">
        <v>3.1819999999999999</v>
      </c>
      <c r="P13" s="37" t="s">
        <v>86</v>
      </c>
      <c r="Q13" s="53" t="s">
        <v>68</v>
      </c>
      <c r="R13" s="53">
        <v>49.813575</v>
      </c>
      <c r="S13" s="457">
        <f t="shared" ref="S13:S22" si="15">IF(ISNUMBER(R13),distx/(R13*10^-6),"")</f>
        <v>6022.4547224325897</v>
      </c>
      <c r="T13" s="537" t="s">
        <v>68</v>
      </c>
      <c r="U13" s="60">
        <v>1.21</v>
      </c>
      <c r="V13" s="60">
        <v>110.405</v>
      </c>
      <c r="W13" s="60">
        <v>0.02</v>
      </c>
      <c r="X13" s="60">
        <v>367.46100000000001</v>
      </c>
      <c r="Y13" s="31">
        <v>1</v>
      </c>
      <c r="Z13" s="37" t="s">
        <v>71</v>
      </c>
      <c r="AA13" s="31">
        <v>140</v>
      </c>
      <c r="AB13" s="39" t="s">
        <v>66</v>
      </c>
      <c r="AC13" s="37">
        <v>0</v>
      </c>
      <c r="AD13" s="37" t="s">
        <v>73</v>
      </c>
      <c r="AE13" s="40" t="s">
        <v>87</v>
      </c>
      <c r="AF13" s="40" t="str">
        <f t="shared" si="6"/>
        <v>N/A</v>
      </c>
      <c r="AG13" s="40" t="str">
        <f t="shared" si="6"/>
        <v>N/A</v>
      </c>
      <c r="AH13" s="40" t="s">
        <v>68</v>
      </c>
      <c r="AI13" s="40" t="str">
        <f t="shared" si="7"/>
        <v>N/A</v>
      </c>
      <c r="AJ13" s="40" t="s">
        <v>76</v>
      </c>
      <c r="AK13" s="40" t="s">
        <v>87</v>
      </c>
      <c r="AL13" s="40" t="s">
        <v>68</v>
      </c>
      <c r="AM13" s="40">
        <v>10.16</v>
      </c>
      <c r="AN13" s="291" t="s">
        <v>68</v>
      </c>
      <c r="AO13" s="291" t="s">
        <v>68</v>
      </c>
      <c r="AP13" s="291" t="str">
        <f t="shared" si="8"/>
        <v>N/R</v>
      </c>
      <c r="AQ13" s="40" t="s">
        <v>75</v>
      </c>
      <c r="AR13" s="285">
        <v>180000</v>
      </c>
      <c r="AS13" s="28">
        <v>256</v>
      </c>
      <c r="AT13" s="28">
        <v>200</v>
      </c>
      <c r="AU13" s="34">
        <v>500000</v>
      </c>
      <c r="AV13" s="278" t="s">
        <v>68</v>
      </c>
      <c r="AW13" s="278" t="s">
        <v>68</v>
      </c>
      <c r="AX13" s="262" t="s">
        <v>68</v>
      </c>
      <c r="AY13" s="281" t="s">
        <v>68</v>
      </c>
      <c r="AZ13" s="61">
        <v>20.7</v>
      </c>
      <c r="BA13" s="271">
        <v>20.7</v>
      </c>
      <c r="BB13" s="31">
        <v>40</v>
      </c>
      <c r="BC13" s="42" t="s">
        <v>76</v>
      </c>
      <c r="BD13" s="29"/>
      <c r="BE13" s="30" t="str">
        <f t="shared" si="9"/>
        <v>PC</v>
      </c>
      <c r="BF13" s="30" t="str">
        <f t="shared" si="10"/>
        <v>AL</v>
      </c>
      <c r="BG13" s="30" t="str">
        <f t="shared" si="11"/>
        <v>M</v>
      </c>
      <c r="BH13" s="30" t="str">
        <f t="shared" si="12"/>
        <v>P</v>
      </c>
      <c r="BI13" s="30" t="str">
        <f t="shared" si="13"/>
        <v>C</v>
      </c>
      <c r="BJ13" s="13"/>
      <c r="BK13" s="49"/>
      <c r="BL13" s="13"/>
      <c r="BM13" s="13" t="s">
        <v>455</v>
      </c>
      <c r="BN13" s="341">
        <v>0.97520192470478018</v>
      </c>
      <c r="BO13" s="341">
        <v>1.353127799905983</v>
      </c>
      <c r="BP13" s="341">
        <v>1.748453290807217</v>
      </c>
      <c r="BQ13" s="13">
        <v>77</v>
      </c>
      <c r="BR13" s="13" t="s">
        <v>82</v>
      </c>
      <c r="BS13" s="13" t="s">
        <v>66</v>
      </c>
      <c r="BT13" s="13" t="s">
        <v>87</v>
      </c>
      <c r="BU13" s="13" t="s">
        <v>105</v>
      </c>
      <c r="BV13" s="15">
        <v>10</v>
      </c>
      <c r="BW13" s="15">
        <v>10</v>
      </c>
      <c r="BX13" s="15">
        <v>1</v>
      </c>
      <c r="BY13" s="15">
        <v>1.415</v>
      </c>
      <c r="BZ13" s="15">
        <v>3.4039999999999999</v>
      </c>
      <c r="CA13" s="15" t="s">
        <v>69</v>
      </c>
      <c r="CB13" s="15">
        <v>73.349400000000003</v>
      </c>
      <c r="CC13" s="15">
        <v>73.992286000000007</v>
      </c>
      <c r="CD13" s="15">
        <v>4054.4767058555262</v>
      </c>
      <c r="CE13" s="15" t="s">
        <v>68</v>
      </c>
      <c r="CF13" s="15">
        <v>1.75</v>
      </c>
      <c r="CG13" s="15">
        <v>83.001999999999995</v>
      </c>
      <c r="CH13" s="15">
        <v>0.02</v>
      </c>
      <c r="CI13" s="15">
        <v>364.06099999999998</v>
      </c>
      <c r="CJ13" s="15">
        <v>100</v>
      </c>
      <c r="CK13" s="15" t="s">
        <v>71</v>
      </c>
      <c r="CL13" s="15">
        <v>250</v>
      </c>
      <c r="CM13" s="15" t="s">
        <v>83</v>
      </c>
      <c r="CN13" s="15">
        <v>0</v>
      </c>
      <c r="CO13" s="15" t="s">
        <v>73</v>
      </c>
      <c r="CP13" s="15" t="s">
        <v>108</v>
      </c>
      <c r="CQ13" s="15" t="s">
        <v>70</v>
      </c>
      <c r="CR13" s="15" t="s">
        <v>70</v>
      </c>
      <c r="CS13" s="15" t="s">
        <v>109</v>
      </c>
      <c r="CT13" s="15" t="s">
        <v>70</v>
      </c>
      <c r="CU13" s="15" t="s">
        <v>73</v>
      </c>
      <c r="CV13" s="15" t="s">
        <v>70</v>
      </c>
      <c r="CW13" s="15" t="s">
        <v>70</v>
      </c>
      <c r="CX13" s="15" t="s">
        <v>70</v>
      </c>
      <c r="CY13" s="15">
        <v>0.58862000000000003</v>
      </c>
      <c r="CZ13" s="15">
        <v>0.58592999999999995</v>
      </c>
      <c r="DA13" s="15">
        <v>2.6900000000000812E-3</v>
      </c>
      <c r="DB13" s="15" t="s">
        <v>75</v>
      </c>
      <c r="DC13" s="15">
        <v>288003</v>
      </c>
      <c r="DD13" s="15">
        <v>128</v>
      </c>
      <c r="DE13" s="15">
        <v>200</v>
      </c>
      <c r="DF13" s="15">
        <v>1000000</v>
      </c>
      <c r="DG13" s="15">
        <v>6</v>
      </c>
      <c r="DH13" s="15">
        <v>5.6</v>
      </c>
      <c r="DI13" s="15">
        <v>1.1000000000000001</v>
      </c>
      <c r="DJ13" s="15">
        <v>0.34</v>
      </c>
      <c r="DK13" s="15">
        <v>21.2</v>
      </c>
      <c r="DL13" s="15">
        <v>21.2</v>
      </c>
      <c r="DM13" s="15">
        <v>47</v>
      </c>
      <c r="DN13" s="15" t="s">
        <v>76</v>
      </c>
    </row>
    <row r="14" spans="1:118" ht="13.5" customHeight="1">
      <c r="A14" s="25" t="str">
        <f t="shared" si="14"/>
        <v>HVIL001-AL-RT-RN-C12.7-0009</v>
      </c>
      <c r="B14" s="48">
        <v>43903.583333333336</v>
      </c>
      <c r="C14" s="632"/>
      <c r="D14" s="632"/>
      <c r="E14" s="632"/>
      <c r="F14" s="50">
        <v>9</v>
      </c>
      <c r="G14" s="44" t="s">
        <v>82</v>
      </c>
      <c r="H14" s="37" t="s">
        <v>83</v>
      </c>
      <c r="I14" s="45" t="s">
        <v>91</v>
      </c>
      <c r="J14" s="45" t="s">
        <v>92</v>
      </c>
      <c r="K14" s="39">
        <v>12.7</v>
      </c>
      <c r="L14" s="39" t="s">
        <v>70</v>
      </c>
      <c r="M14" s="39">
        <v>1.66</v>
      </c>
      <c r="N14" s="31">
        <v>3.3940000000000001</v>
      </c>
      <c r="O14" s="63">
        <v>3.3940000000000001</v>
      </c>
      <c r="P14" s="37" t="s">
        <v>86</v>
      </c>
      <c r="Q14" s="53" t="s">
        <v>68</v>
      </c>
      <c r="R14" s="53">
        <v>68.783158999999998</v>
      </c>
      <c r="S14" s="457">
        <f t="shared" si="15"/>
        <v>4361.532740885018</v>
      </c>
      <c r="T14" s="537" t="s">
        <v>68</v>
      </c>
      <c r="U14" s="60">
        <v>1.2</v>
      </c>
      <c r="V14" s="60">
        <v>110.041</v>
      </c>
      <c r="W14" s="60">
        <v>0.02</v>
      </c>
      <c r="X14" s="60">
        <v>363.59500000000003</v>
      </c>
      <c r="Y14" s="31">
        <v>157</v>
      </c>
      <c r="Z14" s="37" t="s">
        <v>71</v>
      </c>
      <c r="AA14" s="31">
        <v>140</v>
      </c>
      <c r="AB14" s="39" t="s">
        <v>66</v>
      </c>
      <c r="AC14" s="37">
        <v>0</v>
      </c>
      <c r="AD14" s="37" t="s">
        <v>73</v>
      </c>
      <c r="AE14" s="40" t="s">
        <v>87</v>
      </c>
      <c r="AF14" s="40" t="str">
        <f t="shared" si="6"/>
        <v>N/A</v>
      </c>
      <c r="AG14" s="40" t="str">
        <f t="shared" si="6"/>
        <v>N/A</v>
      </c>
      <c r="AH14" s="40" t="s">
        <v>68</v>
      </c>
      <c r="AI14" s="40" t="str">
        <f t="shared" si="7"/>
        <v>N/A</v>
      </c>
      <c r="AJ14" s="40" t="s">
        <v>73</v>
      </c>
      <c r="AK14" s="40" t="str">
        <f t="shared" ref="AK14:AM22" si="16">IF($AJ14="N","N/A"," ")</f>
        <v>N/A</v>
      </c>
      <c r="AL14" s="40" t="s">
        <v>70</v>
      </c>
      <c r="AM14" s="40" t="str">
        <f t="shared" si="16"/>
        <v>N/A</v>
      </c>
      <c r="AN14" s="291" t="s">
        <v>68</v>
      </c>
      <c r="AO14" s="291" t="s">
        <v>68</v>
      </c>
      <c r="AP14" s="291" t="str">
        <f t="shared" si="8"/>
        <v>N/R</v>
      </c>
      <c r="AQ14" s="40" t="s">
        <v>75</v>
      </c>
      <c r="AR14" s="285">
        <v>180000</v>
      </c>
      <c r="AS14" s="28">
        <v>256</v>
      </c>
      <c r="AT14" s="28">
        <v>200</v>
      </c>
      <c r="AU14" s="34">
        <v>200000</v>
      </c>
      <c r="AV14" s="278" t="s">
        <v>68</v>
      </c>
      <c r="AW14" s="278" t="s">
        <v>68</v>
      </c>
      <c r="AX14" s="262" t="s">
        <v>68</v>
      </c>
      <c r="AY14" s="281" t="s">
        <v>68</v>
      </c>
      <c r="AZ14" s="61">
        <v>21.4</v>
      </c>
      <c r="BA14" s="271">
        <v>21.4</v>
      </c>
      <c r="BB14" s="31">
        <v>57</v>
      </c>
      <c r="BC14" s="42" t="s">
        <v>73</v>
      </c>
      <c r="BD14" s="29"/>
      <c r="BE14" s="30" t="str">
        <f t="shared" si="9"/>
        <v>RN</v>
      </c>
      <c r="BF14" s="30" t="str">
        <f t="shared" si="10"/>
        <v>AL</v>
      </c>
      <c r="BG14" s="30" t="str">
        <f t="shared" si="11"/>
        <v>M</v>
      </c>
      <c r="BH14" s="30" t="str">
        <f t="shared" si="12"/>
        <v>P</v>
      </c>
      <c r="BI14" s="30" t="str">
        <f t="shared" si="13"/>
        <v>C</v>
      </c>
      <c r="BJ14" s="13"/>
      <c r="BK14" s="49" t="s">
        <v>93</v>
      </c>
      <c r="BL14" s="13"/>
      <c r="BM14" s="13" t="s">
        <v>456</v>
      </c>
      <c r="BN14" s="341">
        <v>1.2409659480816739</v>
      </c>
      <c r="BO14" s="341">
        <v>1.709645282786121</v>
      </c>
      <c r="BP14" s="341">
        <v>2.181982527554664</v>
      </c>
      <c r="BQ14" s="13">
        <v>79</v>
      </c>
      <c r="BR14" s="13" t="s">
        <v>158</v>
      </c>
      <c r="BS14" s="13" t="s">
        <v>83</v>
      </c>
      <c r="BT14" s="13" t="s">
        <v>148</v>
      </c>
      <c r="BU14" s="13" t="s">
        <v>149</v>
      </c>
      <c r="BV14" s="15">
        <v>4</v>
      </c>
      <c r="BW14" s="15">
        <v>4</v>
      </c>
      <c r="BX14" s="15">
        <v>1</v>
      </c>
      <c r="BY14" s="15">
        <v>3.3300000000000003E-2</v>
      </c>
      <c r="BZ14" s="15">
        <v>2.08</v>
      </c>
      <c r="CA14" s="15" t="s">
        <v>69</v>
      </c>
      <c r="CB14" s="15">
        <v>94.370999999999995</v>
      </c>
      <c r="CC14" s="15">
        <v>152.19678400000001</v>
      </c>
      <c r="CD14" s="15">
        <v>1971.1323203780705</v>
      </c>
      <c r="CE14" s="15" t="s">
        <v>68</v>
      </c>
      <c r="CF14" s="15">
        <v>1.75</v>
      </c>
      <c r="CG14" s="15">
        <v>55.012999999999998</v>
      </c>
      <c r="CH14" s="15">
        <v>0.02</v>
      </c>
      <c r="CI14" s="15">
        <v>362.41199999999998</v>
      </c>
      <c r="CJ14" s="15">
        <v>200</v>
      </c>
      <c r="CK14" s="15" t="s">
        <v>71</v>
      </c>
      <c r="CL14" s="15">
        <v>250</v>
      </c>
      <c r="CM14" s="15" t="s">
        <v>72</v>
      </c>
      <c r="CN14" s="15">
        <v>60</v>
      </c>
      <c r="CO14" s="15" t="s">
        <v>73</v>
      </c>
      <c r="CP14" s="15" t="s">
        <v>159</v>
      </c>
      <c r="CQ14" s="15" t="s">
        <v>70</v>
      </c>
      <c r="CR14" s="15" t="s">
        <v>70</v>
      </c>
      <c r="CS14" s="15" t="s">
        <v>160</v>
      </c>
      <c r="CT14" s="15" t="s">
        <v>70</v>
      </c>
      <c r="CU14" s="15" t="s">
        <v>73</v>
      </c>
      <c r="CV14" s="15" t="s">
        <v>70</v>
      </c>
      <c r="CW14" s="15" t="s">
        <v>70</v>
      </c>
      <c r="CX14" s="15" t="s">
        <v>70</v>
      </c>
      <c r="CY14" s="15">
        <v>5.0180000000000002E-2</v>
      </c>
      <c r="CZ14" s="15">
        <v>4.9709999999999997E-2</v>
      </c>
      <c r="DA14" s="15">
        <v>4.7000000000000514E-4</v>
      </c>
      <c r="DB14" s="15" t="s">
        <v>75</v>
      </c>
      <c r="DC14" s="15">
        <v>675806</v>
      </c>
      <c r="DD14" s="15">
        <v>256</v>
      </c>
      <c r="DE14" s="15">
        <v>200</v>
      </c>
      <c r="DF14" s="15">
        <v>1000000</v>
      </c>
      <c r="DG14" s="15">
        <v>6</v>
      </c>
      <c r="DH14" s="15">
        <v>5.6</v>
      </c>
      <c r="DI14" s="15">
        <v>1.1000000000000001</v>
      </c>
      <c r="DJ14" s="15">
        <v>0.34</v>
      </c>
      <c r="DK14" s="15">
        <v>21.5</v>
      </c>
      <c r="DL14" s="15">
        <v>21.5</v>
      </c>
      <c r="DM14" s="15">
        <v>57</v>
      </c>
      <c r="DN14" s="15" t="s">
        <v>76</v>
      </c>
    </row>
    <row r="15" spans="1:118">
      <c r="A15" s="25" t="str">
        <f t="shared" si="14"/>
        <v>HVIL001-AL-RT-RN-C12.7-0010</v>
      </c>
      <c r="B15" s="48">
        <v>43906.982638888891</v>
      </c>
      <c r="C15" s="632"/>
      <c r="D15" s="632"/>
      <c r="E15" s="632"/>
      <c r="F15" s="51">
        <v>10</v>
      </c>
      <c r="G15" s="44" t="s">
        <v>82</v>
      </c>
      <c r="H15" s="37" t="s">
        <v>83</v>
      </c>
      <c r="I15" s="45" t="s">
        <v>91</v>
      </c>
      <c r="J15" s="45" t="s">
        <v>94</v>
      </c>
      <c r="K15" s="39">
        <v>12.7</v>
      </c>
      <c r="L15" s="39" t="s">
        <v>70</v>
      </c>
      <c r="M15" s="39">
        <v>1.66</v>
      </c>
      <c r="N15" s="31">
        <v>2.9119999999999999</v>
      </c>
      <c r="O15" s="63">
        <v>2.9119999999999999</v>
      </c>
      <c r="P15" s="37" t="s">
        <v>86</v>
      </c>
      <c r="Q15" s="53" t="s">
        <v>68</v>
      </c>
      <c r="R15" s="256">
        <v>52.105589999999999</v>
      </c>
      <c r="S15" s="457">
        <f t="shared" si="15"/>
        <v>5757.5396420998204</v>
      </c>
      <c r="T15" s="537" t="s">
        <v>68</v>
      </c>
      <c r="U15" s="60">
        <v>1.204</v>
      </c>
      <c r="V15" s="60">
        <v>110</v>
      </c>
      <c r="W15" s="60">
        <v>0.02</v>
      </c>
      <c r="X15" s="60">
        <v>363.64800000000002</v>
      </c>
      <c r="Y15" s="31">
        <v>1</v>
      </c>
      <c r="Z15" s="37" t="s">
        <v>71</v>
      </c>
      <c r="AA15" s="31">
        <v>140</v>
      </c>
      <c r="AB15" s="39" t="s">
        <v>66</v>
      </c>
      <c r="AC15" s="37">
        <v>0</v>
      </c>
      <c r="AD15" s="37" t="s">
        <v>73</v>
      </c>
      <c r="AE15" s="40" t="s">
        <v>87</v>
      </c>
      <c r="AF15" s="40" t="str">
        <f t="shared" si="6"/>
        <v>N/A</v>
      </c>
      <c r="AG15" s="40" t="str">
        <f t="shared" si="6"/>
        <v>N/A</v>
      </c>
      <c r="AH15" s="40" t="s">
        <v>68</v>
      </c>
      <c r="AI15" s="40" t="str">
        <f t="shared" si="7"/>
        <v>N/A</v>
      </c>
      <c r="AJ15" s="40" t="s">
        <v>73</v>
      </c>
      <c r="AK15" s="40" t="str">
        <f t="shared" si="16"/>
        <v>N/A</v>
      </c>
      <c r="AL15" s="40" t="s">
        <v>70</v>
      </c>
      <c r="AM15" s="40" t="str">
        <f t="shared" si="16"/>
        <v>N/A</v>
      </c>
      <c r="AN15" s="291" t="s">
        <v>68</v>
      </c>
      <c r="AO15" s="291" t="s">
        <v>68</v>
      </c>
      <c r="AP15" s="291" t="str">
        <f t="shared" si="8"/>
        <v>N/R</v>
      </c>
      <c r="AQ15" s="40" t="s">
        <v>75</v>
      </c>
      <c r="AR15" s="285">
        <v>170000</v>
      </c>
      <c r="AS15" s="28">
        <v>256</v>
      </c>
      <c r="AT15" s="28">
        <v>200</v>
      </c>
      <c r="AU15" s="34">
        <v>200000</v>
      </c>
      <c r="AV15" s="278" t="s">
        <v>68</v>
      </c>
      <c r="AW15" s="278" t="s">
        <v>68</v>
      </c>
      <c r="AX15" s="262" t="s">
        <v>68</v>
      </c>
      <c r="AY15" s="281" t="s">
        <v>68</v>
      </c>
      <c r="AZ15" s="61">
        <v>21.4</v>
      </c>
      <c r="BA15" s="271">
        <v>21.4</v>
      </c>
      <c r="BB15" s="31">
        <v>57</v>
      </c>
      <c r="BC15" s="42" t="s">
        <v>76</v>
      </c>
      <c r="BD15" s="29"/>
      <c r="BE15" s="30" t="str">
        <f t="shared" si="9"/>
        <v>RN</v>
      </c>
      <c r="BF15" s="30" t="str">
        <f t="shared" si="10"/>
        <v>AL</v>
      </c>
      <c r="BG15" s="30" t="str">
        <f t="shared" si="11"/>
        <v>M</v>
      </c>
      <c r="BH15" s="30" t="str">
        <f t="shared" si="12"/>
        <v>P</v>
      </c>
      <c r="BI15" s="30" t="str">
        <f t="shared" si="13"/>
        <v>C</v>
      </c>
      <c r="BJ15" s="13"/>
      <c r="BK15" s="49" t="s">
        <v>95</v>
      </c>
      <c r="BL15" s="13"/>
      <c r="BM15" s="13" t="s">
        <v>457</v>
      </c>
      <c r="BN15" s="341">
        <v>1.4959737424282411</v>
      </c>
      <c r="BO15" s="341">
        <v>1.965986970249328</v>
      </c>
      <c r="BP15" s="341">
        <v>2.4237383724865751</v>
      </c>
      <c r="BQ15" s="13">
        <v>80</v>
      </c>
      <c r="BR15" s="13" t="s">
        <v>129</v>
      </c>
      <c r="BS15" s="13" t="s">
        <v>66</v>
      </c>
      <c r="BT15" s="13" t="s">
        <v>120</v>
      </c>
      <c r="BU15" s="13" t="s">
        <v>131</v>
      </c>
      <c r="BV15" s="15">
        <v>10</v>
      </c>
      <c r="BW15" s="15">
        <v>10</v>
      </c>
      <c r="BX15" s="15">
        <v>1</v>
      </c>
      <c r="BY15" s="15">
        <v>4.0590000000000002</v>
      </c>
      <c r="BZ15" s="15">
        <v>6.056</v>
      </c>
      <c r="CA15" s="15" t="s">
        <v>69</v>
      </c>
      <c r="CB15" s="15">
        <v>65.031400000000005</v>
      </c>
      <c r="CC15" s="15">
        <v>147.50798900000001</v>
      </c>
      <c r="CD15" s="15">
        <v>2033.7881496032053</v>
      </c>
      <c r="CE15" s="15" t="s">
        <v>68</v>
      </c>
      <c r="CF15" s="15">
        <v>1.7509999999999999</v>
      </c>
      <c r="CG15" s="15">
        <v>60.006999999999998</v>
      </c>
      <c r="CH15" s="15">
        <v>0.02</v>
      </c>
      <c r="CI15" s="15">
        <v>363.827</v>
      </c>
      <c r="CJ15" s="15">
        <v>200</v>
      </c>
      <c r="CK15" s="15" t="s">
        <v>71</v>
      </c>
      <c r="CL15" s="15">
        <v>250</v>
      </c>
      <c r="CM15" s="15" t="s">
        <v>132</v>
      </c>
      <c r="CN15" s="15">
        <v>0</v>
      </c>
      <c r="CO15" s="15" t="s">
        <v>73</v>
      </c>
      <c r="CP15" s="15" t="s">
        <v>133</v>
      </c>
      <c r="CQ15" s="15" t="s">
        <v>70</v>
      </c>
      <c r="CR15" s="15" t="s">
        <v>70</v>
      </c>
      <c r="CS15" s="15" t="s">
        <v>156</v>
      </c>
      <c r="CT15" s="15" t="s">
        <v>70</v>
      </c>
      <c r="CU15" s="15" t="s">
        <v>73</v>
      </c>
      <c r="CV15" s="15" t="s">
        <v>70</v>
      </c>
      <c r="CW15" s="15" t="s">
        <v>70</v>
      </c>
      <c r="CX15" s="15" t="s">
        <v>70</v>
      </c>
      <c r="CY15" s="15">
        <v>13.292</v>
      </c>
      <c r="CZ15" s="15">
        <v>11.654</v>
      </c>
      <c r="DA15" s="15">
        <v>1.6379999999999999</v>
      </c>
      <c r="DB15" s="15" t="s">
        <v>75</v>
      </c>
      <c r="DC15" s="15">
        <v>452086</v>
      </c>
      <c r="DD15" s="15">
        <v>128</v>
      </c>
      <c r="DE15" s="15">
        <v>200</v>
      </c>
      <c r="DF15" s="15">
        <v>500000</v>
      </c>
      <c r="DG15" s="15">
        <v>6</v>
      </c>
      <c r="DH15" s="15">
        <v>5.6</v>
      </c>
      <c r="DI15" s="15">
        <v>1.1000000000000001</v>
      </c>
      <c r="DK15" s="15">
        <v>22.1</v>
      </c>
      <c r="DL15" s="15">
        <v>22.1</v>
      </c>
      <c r="DM15" s="15">
        <v>57</v>
      </c>
      <c r="DN15" s="15" t="s">
        <v>76</v>
      </c>
    </row>
    <row r="16" spans="1:118">
      <c r="A16" s="25" t="str">
        <f t="shared" si="14"/>
        <v>HVIL001-AL-RT-RN-C12.7-0011</v>
      </c>
      <c r="B16" s="48">
        <v>43908.536111111112</v>
      </c>
      <c r="C16" s="632"/>
      <c r="D16" s="632"/>
      <c r="E16" s="632"/>
      <c r="F16" s="50">
        <v>11</v>
      </c>
      <c r="G16" s="44" t="s">
        <v>82</v>
      </c>
      <c r="H16" s="37" t="s">
        <v>83</v>
      </c>
      <c r="I16" s="45" t="s">
        <v>91</v>
      </c>
      <c r="J16" s="45" t="s">
        <v>96</v>
      </c>
      <c r="K16" s="39">
        <v>12.7</v>
      </c>
      <c r="L16" s="39" t="s">
        <v>70</v>
      </c>
      <c r="M16" s="39">
        <v>1.66</v>
      </c>
      <c r="N16" s="31">
        <v>2.802</v>
      </c>
      <c r="O16" s="63">
        <v>2.802</v>
      </c>
      <c r="P16" s="37" t="s">
        <v>86</v>
      </c>
      <c r="Q16" s="53" t="s">
        <v>68</v>
      </c>
      <c r="R16" s="53">
        <v>63.402071999999997</v>
      </c>
      <c r="S16" s="457">
        <f t="shared" si="15"/>
        <v>4731.7065600001215</v>
      </c>
      <c r="T16" s="537" t="s">
        <v>68</v>
      </c>
      <c r="U16" s="60">
        <v>1.214</v>
      </c>
      <c r="V16" s="60">
        <v>110.01</v>
      </c>
      <c r="W16" s="60">
        <v>0.02</v>
      </c>
      <c r="X16" s="60">
        <v>366.93700000000001</v>
      </c>
      <c r="Y16" s="31">
        <v>1</v>
      </c>
      <c r="Z16" s="37" t="s">
        <v>71</v>
      </c>
      <c r="AA16" s="31">
        <v>141</v>
      </c>
      <c r="AB16" s="39" t="s">
        <v>66</v>
      </c>
      <c r="AC16" s="37">
        <v>0</v>
      </c>
      <c r="AD16" s="37" t="s">
        <v>73</v>
      </c>
      <c r="AE16" s="40" t="s">
        <v>87</v>
      </c>
      <c r="AF16" s="40" t="str">
        <f t="shared" si="6"/>
        <v>N/A</v>
      </c>
      <c r="AG16" s="40" t="str">
        <f t="shared" si="6"/>
        <v>N/A</v>
      </c>
      <c r="AH16" s="40" t="s">
        <v>68</v>
      </c>
      <c r="AI16" s="40" t="str">
        <f t="shared" si="7"/>
        <v>N/A</v>
      </c>
      <c r="AJ16" s="40" t="s">
        <v>73</v>
      </c>
      <c r="AK16" s="40" t="str">
        <f t="shared" si="16"/>
        <v>N/A</v>
      </c>
      <c r="AL16" s="40" t="s">
        <v>70</v>
      </c>
      <c r="AM16" s="40" t="str">
        <f t="shared" si="16"/>
        <v>N/A</v>
      </c>
      <c r="AN16" s="291" t="s">
        <v>68</v>
      </c>
      <c r="AO16" s="291" t="s">
        <v>68</v>
      </c>
      <c r="AP16" s="291" t="str">
        <f t="shared" si="8"/>
        <v>N/R</v>
      </c>
      <c r="AQ16" s="40" t="s">
        <v>75</v>
      </c>
      <c r="AR16" s="285">
        <v>160000</v>
      </c>
      <c r="AS16" s="28">
        <v>256</v>
      </c>
      <c r="AT16" s="28">
        <v>200</v>
      </c>
      <c r="AU16" s="34">
        <v>200000</v>
      </c>
      <c r="AV16" s="278" t="s">
        <v>68</v>
      </c>
      <c r="AW16" s="278" t="s">
        <v>68</v>
      </c>
      <c r="AX16" s="262" t="s">
        <v>68</v>
      </c>
      <c r="AY16" s="281" t="s">
        <v>68</v>
      </c>
      <c r="AZ16" s="61">
        <v>20.5</v>
      </c>
      <c r="BA16" s="271">
        <v>20.5</v>
      </c>
      <c r="BB16" s="31">
        <v>58</v>
      </c>
      <c r="BC16" s="42" t="s">
        <v>73</v>
      </c>
      <c r="BD16" s="29"/>
      <c r="BE16" s="30" t="str">
        <f t="shared" si="9"/>
        <v>RN</v>
      </c>
      <c r="BF16" s="30" t="str">
        <f t="shared" si="10"/>
        <v>AL</v>
      </c>
      <c r="BG16" s="30" t="str">
        <f t="shared" si="11"/>
        <v>M</v>
      </c>
      <c r="BH16" s="30" t="str">
        <f t="shared" si="12"/>
        <v>P</v>
      </c>
      <c r="BI16" s="30" t="str">
        <f t="shared" si="13"/>
        <v>C</v>
      </c>
      <c r="BJ16" s="13"/>
      <c r="BK16" s="49" t="s">
        <v>97</v>
      </c>
      <c r="BL16" s="13"/>
      <c r="BM16" s="13" t="s">
        <v>458</v>
      </c>
      <c r="BN16" s="341">
        <v>1.438114576474228</v>
      </c>
      <c r="BO16" s="341">
        <v>1.774358360208143</v>
      </c>
      <c r="BP16" s="341">
        <v>2.114877995436995</v>
      </c>
      <c r="BQ16" s="13">
        <v>81</v>
      </c>
      <c r="BR16" s="13" t="s">
        <v>82</v>
      </c>
      <c r="BS16" s="13" t="s">
        <v>66</v>
      </c>
      <c r="BT16" s="13" t="s">
        <v>87</v>
      </c>
      <c r="BU16" s="13" t="s">
        <v>105</v>
      </c>
      <c r="BV16" s="15">
        <v>10</v>
      </c>
      <c r="BW16" s="15">
        <v>10</v>
      </c>
      <c r="BX16" s="15">
        <v>1</v>
      </c>
      <c r="BY16" s="15">
        <v>1.4179999999999999</v>
      </c>
      <c r="BZ16" s="15">
        <v>3.4060000000000001</v>
      </c>
      <c r="CA16" s="15" t="s">
        <v>69</v>
      </c>
      <c r="CB16" s="15">
        <v>82.123800000000003</v>
      </c>
      <c r="CC16" s="15">
        <v>114.249376</v>
      </c>
      <c r="CD16" s="15">
        <v>2625.8349104681324</v>
      </c>
      <c r="CE16" s="15" t="s">
        <v>68</v>
      </c>
      <c r="CF16" s="15">
        <v>1.748</v>
      </c>
      <c r="CG16" s="15">
        <v>65</v>
      </c>
      <c r="CH16" s="15">
        <v>0.02</v>
      </c>
      <c r="CI16" s="15">
        <v>363.52100000000002</v>
      </c>
      <c r="CJ16" s="15">
        <v>200</v>
      </c>
      <c r="CK16" s="15" t="s">
        <v>71</v>
      </c>
      <c r="CL16" s="15">
        <v>251</v>
      </c>
      <c r="CM16" s="15" t="s">
        <v>83</v>
      </c>
      <c r="CN16" s="15">
        <v>0</v>
      </c>
      <c r="CO16" s="15" t="s">
        <v>73</v>
      </c>
      <c r="CP16" s="15" t="s">
        <v>108</v>
      </c>
      <c r="CQ16" s="15" t="s">
        <v>70</v>
      </c>
      <c r="CR16" s="15" t="s">
        <v>70</v>
      </c>
      <c r="CS16" s="15" t="s">
        <v>109</v>
      </c>
      <c r="CT16" s="15" t="s">
        <v>70</v>
      </c>
      <c r="CU16" s="15" t="s">
        <v>73</v>
      </c>
      <c r="CV16" s="15" t="s">
        <v>70</v>
      </c>
      <c r="CW16" s="15" t="s">
        <v>70</v>
      </c>
      <c r="CX16" s="15" t="s">
        <v>70</v>
      </c>
      <c r="CY16" s="15">
        <v>0.58982000000000001</v>
      </c>
      <c r="CZ16" s="15">
        <v>0.58814</v>
      </c>
      <c r="DA16" s="15">
        <v>1.6800000000000148E-3</v>
      </c>
      <c r="DB16" s="15" t="s">
        <v>75</v>
      </c>
      <c r="DC16" s="15">
        <v>414607</v>
      </c>
      <c r="DD16" s="15">
        <v>128</v>
      </c>
      <c r="DE16" s="15">
        <v>200</v>
      </c>
      <c r="DF16" s="15">
        <v>1000000</v>
      </c>
      <c r="DG16" s="15">
        <v>6</v>
      </c>
      <c r="DH16" s="15">
        <v>5.6</v>
      </c>
      <c r="DI16" s="15">
        <v>1.1000000000000001</v>
      </c>
      <c r="DJ16" s="15">
        <v>0.34</v>
      </c>
      <c r="DK16" s="15">
        <v>22.1</v>
      </c>
      <c r="DL16" s="15">
        <v>22.1</v>
      </c>
      <c r="DM16" s="15">
        <v>57</v>
      </c>
      <c r="DN16" s="15" t="s">
        <v>76</v>
      </c>
    </row>
    <row r="17" spans="1:118">
      <c r="A17" s="25" t="str">
        <f t="shared" si="14"/>
        <v>HVIL001-HDPE-RT-SS-S06.0-0012</v>
      </c>
      <c r="B17" s="48">
        <v>43908.614583333336</v>
      </c>
      <c r="C17" s="632"/>
      <c r="D17" s="632"/>
      <c r="E17" s="632"/>
      <c r="F17" s="50">
        <v>12</v>
      </c>
      <c r="G17" s="44" t="s">
        <v>82</v>
      </c>
      <c r="H17" s="37" t="s">
        <v>66</v>
      </c>
      <c r="I17" s="45" t="s">
        <v>98</v>
      </c>
      <c r="J17" s="45" t="s">
        <v>99</v>
      </c>
      <c r="K17" s="39">
        <v>6</v>
      </c>
      <c r="L17" s="39">
        <v>6</v>
      </c>
      <c r="M17" s="39">
        <v>1</v>
      </c>
      <c r="N17" s="63">
        <v>0.89300000000000002</v>
      </c>
      <c r="O17" s="31">
        <f>2.906-0.03</f>
        <v>2.8760000000000003</v>
      </c>
      <c r="P17" s="37" t="s">
        <v>69</v>
      </c>
      <c r="Q17" s="53" t="s">
        <v>68</v>
      </c>
      <c r="R17" s="53">
        <v>49.5</v>
      </c>
      <c r="S17" s="457">
        <f t="shared" si="15"/>
        <v>6060.606060606061</v>
      </c>
      <c r="T17" s="537" t="s">
        <v>68</v>
      </c>
      <c r="U17" s="60">
        <v>1.3</v>
      </c>
      <c r="V17" s="60">
        <v>110.01</v>
      </c>
      <c r="W17" s="60">
        <v>0.02</v>
      </c>
      <c r="X17" s="60">
        <v>363.404</v>
      </c>
      <c r="Y17" s="31">
        <v>175</v>
      </c>
      <c r="Z17" s="37" t="s">
        <v>71</v>
      </c>
      <c r="AA17" s="31">
        <v>140</v>
      </c>
      <c r="AB17" s="39" t="s">
        <v>83</v>
      </c>
      <c r="AC17" s="37">
        <v>0</v>
      </c>
      <c r="AD17" s="37" t="s">
        <v>73</v>
      </c>
      <c r="AE17" s="40" t="s">
        <v>100</v>
      </c>
      <c r="AF17" s="40" t="str">
        <f t="shared" si="6"/>
        <v>N/A</v>
      </c>
      <c r="AG17" s="40" t="str">
        <f t="shared" si="6"/>
        <v>N/A</v>
      </c>
      <c r="AH17" s="40" t="s">
        <v>68</v>
      </c>
      <c r="AI17" s="40" t="str">
        <f t="shared" si="7"/>
        <v>N/A</v>
      </c>
      <c r="AJ17" s="40" t="s">
        <v>73</v>
      </c>
      <c r="AK17" s="40" t="str">
        <f t="shared" si="16"/>
        <v>N/A</v>
      </c>
      <c r="AL17" s="40" t="s">
        <v>70</v>
      </c>
      <c r="AM17" s="40" t="str">
        <f t="shared" si="16"/>
        <v>N/A</v>
      </c>
      <c r="AN17" s="291">
        <v>0.55800000000000005</v>
      </c>
      <c r="AO17" s="291">
        <v>0.55720000000000003</v>
      </c>
      <c r="AP17" s="291">
        <f t="shared" si="8"/>
        <v>8.0000000000002292E-4</v>
      </c>
      <c r="AQ17" s="40" t="s">
        <v>75</v>
      </c>
      <c r="AR17" s="285">
        <v>160000</v>
      </c>
      <c r="AS17" s="28">
        <v>256</v>
      </c>
      <c r="AT17" s="28">
        <v>200</v>
      </c>
      <c r="AU17" s="34">
        <v>200000</v>
      </c>
      <c r="AV17" s="278" t="s">
        <v>68</v>
      </c>
      <c r="AW17" s="278" t="s">
        <v>68</v>
      </c>
      <c r="AX17" s="262" t="s">
        <v>68</v>
      </c>
      <c r="AY17" s="281" t="s">
        <v>68</v>
      </c>
      <c r="AZ17" s="61">
        <v>20.6</v>
      </c>
      <c r="BA17" s="271">
        <v>20.6</v>
      </c>
      <c r="BB17" s="31">
        <v>58</v>
      </c>
      <c r="BC17" s="42" t="s">
        <v>73</v>
      </c>
      <c r="BD17" s="29"/>
      <c r="BE17" s="30" t="str">
        <f t="shared" si="9"/>
        <v>SS</v>
      </c>
      <c r="BF17" s="30" t="str">
        <f t="shared" si="10"/>
        <v>HDPE</v>
      </c>
      <c r="BG17" s="30" t="str">
        <f t="shared" si="11"/>
        <v>P</v>
      </c>
      <c r="BH17" s="30" t="str">
        <f t="shared" si="12"/>
        <v>M</v>
      </c>
      <c r="BI17" s="30" t="str">
        <f t="shared" si="13"/>
        <v>S</v>
      </c>
      <c r="BJ17" s="13"/>
      <c r="BK17" s="49" t="s">
        <v>101</v>
      </c>
      <c r="BL17" s="13"/>
      <c r="BM17" s="13" t="s">
        <v>459</v>
      </c>
      <c r="BN17" s="341">
        <v>1.5235153702058419</v>
      </c>
      <c r="BO17" s="341">
        <v>1.9030900894290821</v>
      </c>
      <c r="BP17" s="341">
        <v>2.2908219139383208</v>
      </c>
      <c r="BQ17" s="13">
        <v>83</v>
      </c>
      <c r="BR17" s="13" t="s">
        <v>82</v>
      </c>
      <c r="BS17" s="13" t="s">
        <v>66</v>
      </c>
      <c r="BT17" s="13" t="s">
        <v>87</v>
      </c>
      <c r="BU17" s="13" t="s">
        <v>105</v>
      </c>
      <c r="BV17" s="15">
        <v>10</v>
      </c>
      <c r="BW17" s="15">
        <v>10</v>
      </c>
      <c r="BX17" s="15">
        <v>1</v>
      </c>
      <c r="BY17" s="15">
        <v>1.417</v>
      </c>
      <c r="BZ17" s="15">
        <v>3.403</v>
      </c>
      <c r="CA17" s="15" t="s">
        <v>69</v>
      </c>
      <c r="CB17" s="15">
        <v>77.939899999999994</v>
      </c>
      <c r="CC17" s="15">
        <v>92.771153999999996</v>
      </c>
      <c r="CD17" s="15">
        <v>3233.7638055035945</v>
      </c>
      <c r="CE17" s="15" t="s">
        <v>68</v>
      </c>
      <c r="CF17" s="15">
        <v>1.748</v>
      </c>
      <c r="CG17" s="15">
        <v>75.036000000000001</v>
      </c>
      <c r="CH17" s="15">
        <v>0.02</v>
      </c>
      <c r="CI17" s="15">
        <v>363.601</v>
      </c>
      <c r="CJ17" s="15">
        <v>200</v>
      </c>
      <c r="CK17" s="15" t="s">
        <v>71</v>
      </c>
      <c r="CL17" s="15">
        <v>250</v>
      </c>
      <c r="CM17" s="15" t="s">
        <v>83</v>
      </c>
      <c r="CN17" s="15">
        <v>0</v>
      </c>
      <c r="CO17" s="15" t="s">
        <v>73</v>
      </c>
      <c r="CP17" s="15" t="s">
        <v>108</v>
      </c>
      <c r="CQ17" s="15" t="s">
        <v>70</v>
      </c>
      <c r="CR17" s="15" t="s">
        <v>70</v>
      </c>
      <c r="CS17" s="15" t="s">
        <v>109</v>
      </c>
      <c r="CT17" s="15" t="s">
        <v>70</v>
      </c>
      <c r="CU17" s="15" t="s">
        <v>73</v>
      </c>
      <c r="CV17" s="15" t="s">
        <v>70</v>
      </c>
      <c r="CW17" s="15" t="s">
        <v>68</v>
      </c>
      <c r="CX17" s="15" t="s">
        <v>70</v>
      </c>
      <c r="CY17" s="15">
        <v>0.57377999999999996</v>
      </c>
      <c r="CZ17" s="15">
        <v>0.57181000000000004</v>
      </c>
      <c r="DA17" s="15">
        <v>1.9699999999999163E-3</v>
      </c>
      <c r="DB17" s="15" t="s">
        <v>75</v>
      </c>
      <c r="DC17" s="15">
        <v>336506</v>
      </c>
      <c r="DD17" s="15">
        <v>128</v>
      </c>
      <c r="DE17" s="15">
        <v>200</v>
      </c>
      <c r="DF17" s="15">
        <v>1000000</v>
      </c>
      <c r="DG17" s="15">
        <v>6</v>
      </c>
      <c r="DH17" s="15">
        <v>5.6</v>
      </c>
      <c r="DI17" s="15">
        <v>1.1000000000000001</v>
      </c>
      <c r="DJ17" s="15">
        <v>0.34</v>
      </c>
      <c r="DK17" s="15">
        <v>22.1</v>
      </c>
      <c r="DL17" s="15">
        <v>22.1</v>
      </c>
      <c r="DM17" s="15">
        <v>57</v>
      </c>
      <c r="DN17" s="15" t="s">
        <v>76</v>
      </c>
    </row>
    <row r="18" spans="1:118">
      <c r="A18" s="25" t="str">
        <f t="shared" si="14"/>
        <v>HVIL001-HDPE-RT-SS-S06.0-0013</v>
      </c>
      <c r="B18" s="48">
        <v>43934.625</v>
      </c>
      <c r="C18" s="632"/>
      <c r="D18" s="632"/>
      <c r="E18" s="632"/>
      <c r="F18" s="51">
        <v>13</v>
      </c>
      <c r="G18" s="44" t="s">
        <v>82</v>
      </c>
      <c r="H18" s="37" t="s">
        <v>66</v>
      </c>
      <c r="I18" s="45" t="s">
        <v>98</v>
      </c>
      <c r="J18" s="45" t="s">
        <v>99</v>
      </c>
      <c r="K18" s="39">
        <v>6</v>
      </c>
      <c r="L18" s="39">
        <v>6</v>
      </c>
      <c r="M18" s="39">
        <v>1</v>
      </c>
      <c r="N18" s="31">
        <v>0.89200000000000002</v>
      </c>
      <c r="O18" s="63">
        <v>2.9119999999999999</v>
      </c>
      <c r="P18" s="37" t="s">
        <v>69</v>
      </c>
      <c r="Q18" s="53" t="s">
        <v>68</v>
      </c>
      <c r="R18" s="53">
        <v>61.119441000000002</v>
      </c>
      <c r="S18" s="457">
        <f t="shared" si="15"/>
        <v>4908.4218554943918</v>
      </c>
      <c r="T18" s="537" t="s">
        <v>68</v>
      </c>
      <c r="U18" s="60">
        <v>1.2</v>
      </c>
      <c r="V18" s="60">
        <v>110</v>
      </c>
      <c r="W18" s="60">
        <v>0.02</v>
      </c>
      <c r="X18" s="60">
        <v>363.404</v>
      </c>
      <c r="Y18" s="31">
        <v>250</v>
      </c>
      <c r="Z18" s="37" t="s">
        <v>71</v>
      </c>
      <c r="AA18" s="31">
        <v>140</v>
      </c>
      <c r="AB18" s="39" t="s">
        <v>83</v>
      </c>
      <c r="AC18" s="37">
        <v>0</v>
      </c>
      <c r="AD18" s="37" t="s">
        <v>73</v>
      </c>
      <c r="AE18" s="40" t="s">
        <v>100</v>
      </c>
      <c r="AF18" s="40" t="str">
        <f t="shared" si="6"/>
        <v>N/A</v>
      </c>
      <c r="AG18" s="40" t="str">
        <f t="shared" si="6"/>
        <v>N/A</v>
      </c>
      <c r="AH18" s="40" t="s">
        <v>102</v>
      </c>
      <c r="AI18" s="40" t="str">
        <f t="shared" si="7"/>
        <v>N/A</v>
      </c>
      <c r="AJ18" s="40" t="s">
        <v>73</v>
      </c>
      <c r="AK18" s="40" t="str">
        <f t="shared" si="16"/>
        <v>N/A</v>
      </c>
      <c r="AL18" s="40" t="s">
        <v>70</v>
      </c>
      <c r="AM18" s="40" t="str">
        <f t="shared" si="16"/>
        <v>N/A</v>
      </c>
      <c r="AN18" s="291" t="s">
        <v>68</v>
      </c>
      <c r="AO18" s="291">
        <v>0.55600000000000005</v>
      </c>
      <c r="AP18" s="291" t="str">
        <f t="shared" si="8"/>
        <v>N/R</v>
      </c>
      <c r="AQ18" s="40" t="s">
        <v>75</v>
      </c>
      <c r="AR18" s="285" t="s">
        <v>68</v>
      </c>
      <c r="AS18" s="28">
        <v>256</v>
      </c>
      <c r="AT18" s="28">
        <v>200</v>
      </c>
      <c r="AU18" s="34">
        <v>1000000</v>
      </c>
      <c r="AV18" s="278" t="s">
        <v>68</v>
      </c>
      <c r="AW18" s="278" t="s">
        <v>68</v>
      </c>
      <c r="AX18" s="262" t="s">
        <v>68</v>
      </c>
      <c r="AY18" s="281" t="s">
        <v>68</v>
      </c>
      <c r="AZ18" s="61">
        <v>21.2</v>
      </c>
      <c r="BA18" s="271">
        <v>21.2</v>
      </c>
      <c r="BB18" s="31">
        <v>38</v>
      </c>
      <c r="BC18" s="42" t="s">
        <v>73</v>
      </c>
      <c r="BD18" s="29"/>
      <c r="BE18" s="30" t="str">
        <f t="shared" si="9"/>
        <v>SS</v>
      </c>
      <c r="BF18" s="30" t="str">
        <f t="shared" si="10"/>
        <v>HDPE</v>
      </c>
      <c r="BG18" s="30" t="str">
        <f t="shared" si="11"/>
        <v>P</v>
      </c>
      <c r="BH18" s="30" t="str">
        <f t="shared" si="12"/>
        <v>M</v>
      </c>
      <c r="BI18" s="30" t="str">
        <f t="shared" si="13"/>
        <v>S</v>
      </c>
      <c r="BJ18" s="13"/>
      <c r="BK18" s="49" t="s">
        <v>103</v>
      </c>
      <c r="BL18" s="13"/>
      <c r="BM18" s="13" t="s">
        <v>460</v>
      </c>
      <c r="BN18" s="341">
        <v>1.02010785530142</v>
      </c>
      <c r="BO18" s="341">
        <v>1.508114339630517</v>
      </c>
      <c r="BP18" s="341">
        <v>1.9820276212053409</v>
      </c>
      <c r="BQ18" s="13">
        <v>84</v>
      </c>
      <c r="BR18" s="13" t="s">
        <v>82</v>
      </c>
      <c r="BS18" s="13" t="s">
        <v>66</v>
      </c>
      <c r="BT18" s="13" t="s">
        <v>87</v>
      </c>
      <c r="BU18" s="13" t="s">
        <v>105</v>
      </c>
      <c r="BV18" s="15">
        <v>10</v>
      </c>
      <c r="BW18" s="15">
        <v>10</v>
      </c>
      <c r="BX18" s="15">
        <v>1</v>
      </c>
      <c r="BY18" s="15">
        <v>1.4179999999999999</v>
      </c>
      <c r="BZ18" s="15">
        <v>3.403</v>
      </c>
      <c r="CA18" s="15" t="s">
        <v>69</v>
      </c>
      <c r="CB18" s="15">
        <v>82.773399999999995</v>
      </c>
      <c r="CC18" s="15">
        <v>85.800329000000005</v>
      </c>
      <c r="CD18" s="15">
        <v>3496.4900892163246</v>
      </c>
      <c r="CE18" s="15" t="s">
        <v>68</v>
      </c>
      <c r="CF18" s="15">
        <v>1.75</v>
      </c>
      <c r="CG18" s="15">
        <v>75</v>
      </c>
      <c r="CH18" s="15">
        <v>0.02</v>
      </c>
      <c r="CI18" s="15">
        <v>363.29399999999998</v>
      </c>
      <c r="CJ18" s="15">
        <v>110</v>
      </c>
      <c r="CK18" s="15" t="s">
        <v>71</v>
      </c>
      <c r="CL18" s="15">
        <v>250</v>
      </c>
      <c r="CM18" s="15" t="s">
        <v>83</v>
      </c>
      <c r="CN18" s="15">
        <v>0</v>
      </c>
      <c r="CO18" s="15" t="s">
        <v>73</v>
      </c>
      <c r="CP18" s="15" t="s">
        <v>108</v>
      </c>
      <c r="CQ18" s="15" t="s">
        <v>70</v>
      </c>
      <c r="CR18" s="15" t="s">
        <v>70</v>
      </c>
      <c r="CS18" s="15" t="s">
        <v>109</v>
      </c>
      <c r="CT18" s="15" t="s">
        <v>70</v>
      </c>
      <c r="CU18" s="15" t="s">
        <v>73</v>
      </c>
      <c r="CV18" s="15" t="s">
        <v>70</v>
      </c>
      <c r="CW18" s="15" t="s">
        <v>68</v>
      </c>
      <c r="CX18" s="15" t="s">
        <v>70</v>
      </c>
      <c r="CY18" s="15">
        <v>0.57762999999999998</v>
      </c>
      <c r="CZ18" s="15">
        <v>0.57528000000000001</v>
      </c>
      <c r="DA18" s="15">
        <v>2.3499999999999632E-3</v>
      </c>
      <c r="DB18" s="15" t="s">
        <v>75</v>
      </c>
      <c r="DC18" s="15">
        <v>311108</v>
      </c>
      <c r="DD18" s="15">
        <v>128</v>
      </c>
      <c r="DE18" s="15">
        <v>200</v>
      </c>
      <c r="DF18" s="15">
        <v>1000000</v>
      </c>
      <c r="DG18" s="15">
        <v>6</v>
      </c>
      <c r="DH18" s="15">
        <v>5.6</v>
      </c>
      <c r="DI18" s="15">
        <v>1.1000000000000001</v>
      </c>
      <c r="DJ18" s="15">
        <v>0.34</v>
      </c>
      <c r="DK18" s="15">
        <v>22.1</v>
      </c>
      <c r="DL18" s="15">
        <v>22.1</v>
      </c>
      <c r="DM18" s="15">
        <v>57</v>
      </c>
      <c r="DN18" s="15" t="s">
        <v>76</v>
      </c>
    </row>
    <row r="19" spans="1:118">
      <c r="A19" s="25" t="str">
        <f t="shared" si="14"/>
        <v>HVIL001-HDPE-RT-PC-C12.7-0014</v>
      </c>
      <c r="B19" s="48">
        <v>43934.708333333336</v>
      </c>
      <c r="C19" s="632"/>
      <c r="D19" s="632"/>
      <c r="E19" s="632"/>
      <c r="F19" s="50">
        <v>14</v>
      </c>
      <c r="G19" s="44" t="s">
        <v>82</v>
      </c>
      <c r="H19" s="37" t="s">
        <v>83</v>
      </c>
      <c r="I19" s="45" t="s">
        <v>84</v>
      </c>
      <c r="J19" s="45" t="s">
        <v>104</v>
      </c>
      <c r="K19" s="39">
        <v>12.7</v>
      </c>
      <c r="L19" s="39" t="s">
        <v>70</v>
      </c>
      <c r="M19" s="39">
        <v>1.1599999999999999</v>
      </c>
      <c r="N19" s="31">
        <v>2.1869999999999998</v>
      </c>
      <c r="O19" s="63">
        <v>2.1869999999999998</v>
      </c>
      <c r="P19" s="37" t="s">
        <v>86</v>
      </c>
      <c r="Q19" s="53" t="s">
        <v>68</v>
      </c>
      <c r="R19" s="53">
        <v>46.161977999999998</v>
      </c>
      <c r="S19" s="457">
        <f t="shared" si="15"/>
        <v>6498.8549667434099</v>
      </c>
      <c r="T19" s="537" t="s">
        <v>68</v>
      </c>
      <c r="U19" s="60">
        <v>1.2</v>
      </c>
      <c r="V19" s="60">
        <v>110.009</v>
      </c>
      <c r="W19" s="60">
        <v>0.02</v>
      </c>
      <c r="X19" s="60">
        <v>363.404</v>
      </c>
      <c r="Y19" s="31">
        <v>1</v>
      </c>
      <c r="Z19" s="37" t="s">
        <v>71</v>
      </c>
      <c r="AA19" s="31">
        <v>140</v>
      </c>
      <c r="AB19" s="39" t="s">
        <v>83</v>
      </c>
      <c r="AC19" s="37">
        <v>0</v>
      </c>
      <c r="AD19" s="37" t="s">
        <v>73</v>
      </c>
      <c r="AE19" s="40" t="s">
        <v>100</v>
      </c>
      <c r="AF19" s="40" t="str">
        <f t="shared" si="6"/>
        <v>N/A</v>
      </c>
      <c r="AG19" s="40" t="str">
        <f t="shared" si="6"/>
        <v>N/A</v>
      </c>
      <c r="AH19" s="40" t="s">
        <v>102</v>
      </c>
      <c r="AI19" s="40" t="str">
        <f t="shared" si="7"/>
        <v>N/A</v>
      </c>
      <c r="AJ19" s="40" t="s">
        <v>73</v>
      </c>
      <c r="AK19" s="40" t="str">
        <f t="shared" si="16"/>
        <v>N/A</v>
      </c>
      <c r="AL19" s="40" t="s">
        <v>70</v>
      </c>
      <c r="AM19" s="40" t="str">
        <f t="shared" si="16"/>
        <v>N/A</v>
      </c>
      <c r="AN19" s="291" t="s">
        <v>68</v>
      </c>
      <c r="AO19" s="291">
        <v>0.55000000000000004</v>
      </c>
      <c r="AP19" s="291" t="str">
        <f t="shared" si="8"/>
        <v>N/R</v>
      </c>
      <c r="AQ19" s="40" t="s">
        <v>75</v>
      </c>
      <c r="AR19" s="285" t="s">
        <v>68</v>
      </c>
      <c r="AS19" s="28">
        <v>256</v>
      </c>
      <c r="AT19" s="28">
        <v>200</v>
      </c>
      <c r="AU19" s="34">
        <v>1000000</v>
      </c>
      <c r="AV19" s="278" t="s">
        <v>68</v>
      </c>
      <c r="AW19" s="278" t="s">
        <v>68</v>
      </c>
      <c r="AX19" s="262" t="s">
        <v>68</v>
      </c>
      <c r="AY19" s="281" t="s">
        <v>68</v>
      </c>
      <c r="AZ19" s="61">
        <v>21</v>
      </c>
      <c r="BA19" s="271">
        <v>21</v>
      </c>
      <c r="BB19" s="31">
        <v>40</v>
      </c>
      <c r="BC19" s="42" t="s">
        <v>76</v>
      </c>
      <c r="BD19" s="29"/>
      <c r="BE19" s="30" t="str">
        <f t="shared" si="9"/>
        <v>PC</v>
      </c>
      <c r="BF19" s="30" t="str">
        <f t="shared" si="10"/>
        <v>HDPE</v>
      </c>
      <c r="BG19" s="30" t="str">
        <f t="shared" si="11"/>
        <v>P</v>
      </c>
      <c r="BH19" s="30" t="str">
        <f t="shared" si="12"/>
        <v>P</v>
      </c>
      <c r="BI19" s="30" t="str">
        <f t="shared" si="13"/>
        <v>C</v>
      </c>
      <c r="BJ19" s="13"/>
      <c r="BK19" s="49"/>
      <c r="BL19" s="13"/>
      <c r="BM19" s="13" t="s">
        <v>461</v>
      </c>
      <c r="BN19" s="341">
        <v>1.401844420856873</v>
      </c>
      <c r="BO19" s="341">
        <v>1.7665202374943849</v>
      </c>
      <c r="BP19" s="341">
        <v>2.1404116246931522</v>
      </c>
      <c r="BQ19" s="13">
        <v>85</v>
      </c>
      <c r="BR19" s="13" t="s">
        <v>82</v>
      </c>
      <c r="BS19" s="13" t="s">
        <v>66</v>
      </c>
      <c r="BT19" s="13" t="s">
        <v>87</v>
      </c>
      <c r="BU19" s="13" t="s">
        <v>105</v>
      </c>
      <c r="BV19" s="15">
        <v>10</v>
      </c>
      <c r="BW19" s="15">
        <v>10</v>
      </c>
      <c r="BX19" s="15">
        <v>1</v>
      </c>
      <c r="BY19" s="15">
        <v>1.415</v>
      </c>
      <c r="BZ19" s="15">
        <v>3.407</v>
      </c>
      <c r="CA19" s="15" t="s">
        <v>69</v>
      </c>
      <c r="CB19" s="15">
        <v>67.909099999999995</v>
      </c>
      <c r="CC19" s="15">
        <v>96.558846000000003</v>
      </c>
      <c r="CD19" s="15">
        <v>3106.9136845318139</v>
      </c>
      <c r="CE19" s="15" t="s">
        <v>68</v>
      </c>
      <c r="CF19" s="15">
        <v>1.75</v>
      </c>
      <c r="CG19" s="15">
        <v>70.001000000000005</v>
      </c>
      <c r="CH19" s="15">
        <v>0.02</v>
      </c>
      <c r="CI19" s="15">
        <v>363.226</v>
      </c>
      <c r="CJ19" s="15">
        <v>200</v>
      </c>
      <c r="CK19" s="15" t="s">
        <v>71</v>
      </c>
      <c r="CL19" s="15">
        <v>250</v>
      </c>
      <c r="CM19" s="15" t="s">
        <v>83</v>
      </c>
      <c r="CN19" s="15">
        <v>0</v>
      </c>
      <c r="CO19" s="15" t="s">
        <v>73</v>
      </c>
      <c r="CP19" s="15" t="s">
        <v>100</v>
      </c>
      <c r="CQ19" s="15" t="s">
        <v>70</v>
      </c>
      <c r="CR19" s="15" t="s">
        <v>70</v>
      </c>
      <c r="CS19" s="15" t="s">
        <v>102</v>
      </c>
      <c r="CT19" s="15" t="s">
        <v>70</v>
      </c>
      <c r="CU19" s="15" t="s">
        <v>73</v>
      </c>
      <c r="CV19" s="15" t="s">
        <v>70</v>
      </c>
      <c r="CW19" s="15" t="s">
        <v>68</v>
      </c>
      <c r="CX19" s="15" t="s">
        <v>70</v>
      </c>
      <c r="CY19" s="15">
        <v>0.55115999999999998</v>
      </c>
      <c r="CZ19" s="15">
        <v>0.54974000000000001</v>
      </c>
      <c r="DA19" s="15">
        <v>1.4199999999999768E-3</v>
      </c>
      <c r="DB19" s="15" t="s">
        <v>75</v>
      </c>
      <c r="DC19" s="15">
        <v>343959</v>
      </c>
      <c r="DD19" s="15">
        <v>128</v>
      </c>
      <c r="DE19" s="15">
        <v>200</v>
      </c>
      <c r="DF19" s="15">
        <v>1000000</v>
      </c>
      <c r="DG19" s="15">
        <v>6</v>
      </c>
      <c r="DH19" s="15">
        <v>5.6</v>
      </c>
      <c r="DI19" s="15">
        <v>1.1000000000000001</v>
      </c>
      <c r="DJ19" s="15">
        <v>0.33500000000000002</v>
      </c>
      <c r="DK19" s="15">
        <v>21.5</v>
      </c>
      <c r="DL19" s="15">
        <v>21.5</v>
      </c>
      <c r="DM19" s="15">
        <v>59</v>
      </c>
      <c r="DN19" s="15" t="s">
        <v>76</v>
      </c>
    </row>
    <row r="20" spans="1:118">
      <c r="A20" s="25" t="str">
        <f t="shared" si="14"/>
        <v>HVIL001-HDPE-RT-AL-S10.0-0015</v>
      </c>
      <c r="B20" s="48">
        <v>43936.53125</v>
      </c>
      <c r="C20" s="632"/>
      <c r="D20" s="632"/>
      <c r="E20" s="632"/>
      <c r="F20" s="50">
        <v>15</v>
      </c>
      <c r="G20" s="44" t="s">
        <v>82</v>
      </c>
      <c r="H20" s="37" t="s">
        <v>66</v>
      </c>
      <c r="I20" s="45" t="s">
        <v>87</v>
      </c>
      <c r="J20" s="45" t="s">
        <v>105</v>
      </c>
      <c r="K20" s="39">
        <v>10</v>
      </c>
      <c r="L20" s="39">
        <v>10</v>
      </c>
      <c r="M20" s="39">
        <v>1</v>
      </c>
      <c r="N20" s="31">
        <v>1.409</v>
      </c>
      <c r="O20" s="63">
        <v>3.3849999999999998</v>
      </c>
      <c r="P20" s="37" t="s">
        <v>69</v>
      </c>
      <c r="Q20" s="53" t="s">
        <v>68</v>
      </c>
      <c r="R20" s="53">
        <v>64.151246999999998</v>
      </c>
      <c r="S20" s="457">
        <f t="shared" si="15"/>
        <v>4676.4484562552625</v>
      </c>
      <c r="T20" s="537" t="s">
        <v>68</v>
      </c>
      <c r="U20" s="60">
        <v>1.206</v>
      </c>
      <c r="V20" s="60">
        <v>110.08199999999999</v>
      </c>
      <c r="W20" s="60">
        <v>0.02</v>
      </c>
      <c r="X20" s="60">
        <v>363.65199999999999</v>
      </c>
      <c r="Y20" s="31">
        <v>210</v>
      </c>
      <c r="Z20" s="37" t="s">
        <v>71</v>
      </c>
      <c r="AA20" s="31">
        <v>142</v>
      </c>
      <c r="AB20" s="39" t="s">
        <v>83</v>
      </c>
      <c r="AC20" s="37">
        <v>0</v>
      </c>
      <c r="AD20" s="37" t="s">
        <v>73</v>
      </c>
      <c r="AE20" s="40" t="s">
        <v>100</v>
      </c>
      <c r="AF20" s="40" t="str">
        <f t="shared" si="6"/>
        <v>N/A</v>
      </c>
      <c r="AG20" s="40" t="str">
        <f t="shared" si="6"/>
        <v>N/A</v>
      </c>
      <c r="AH20" s="40" t="s">
        <v>102</v>
      </c>
      <c r="AI20" s="40" t="str">
        <f t="shared" si="7"/>
        <v>N/A</v>
      </c>
      <c r="AJ20" s="40" t="s">
        <v>73</v>
      </c>
      <c r="AK20" s="40" t="str">
        <f t="shared" si="16"/>
        <v>N/A</v>
      </c>
      <c r="AL20" s="40" t="s">
        <v>70</v>
      </c>
      <c r="AM20" s="40" t="str">
        <f t="shared" si="16"/>
        <v>N/A</v>
      </c>
      <c r="AN20" s="291" t="s">
        <v>68</v>
      </c>
      <c r="AO20" s="291">
        <v>0.55800000000000005</v>
      </c>
      <c r="AP20" s="291" t="str">
        <f t="shared" si="8"/>
        <v>N/R</v>
      </c>
      <c r="AQ20" s="40" t="s">
        <v>75</v>
      </c>
      <c r="AR20" s="285" t="s">
        <v>68</v>
      </c>
      <c r="AS20" s="28">
        <v>256</v>
      </c>
      <c r="AT20" s="28">
        <v>200</v>
      </c>
      <c r="AU20" s="34">
        <v>1000000</v>
      </c>
      <c r="AV20" s="278" t="s">
        <v>68</v>
      </c>
      <c r="AW20" s="278" t="s">
        <v>68</v>
      </c>
      <c r="AX20" s="262" t="s">
        <v>68</v>
      </c>
      <c r="AY20" s="281" t="s">
        <v>68</v>
      </c>
      <c r="AZ20" s="61">
        <v>21.2</v>
      </c>
      <c r="BA20" s="271">
        <v>21.2</v>
      </c>
      <c r="BB20" s="31">
        <v>38</v>
      </c>
      <c r="BC20" s="42" t="s">
        <v>76</v>
      </c>
      <c r="BD20" s="29"/>
      <c r="BE20" s="30" t="str">
        <f t="shared" si="9"/>
        <v>AL</v>
      </c>
      <c r="BF20" s="30" t="str">
        <f t="shared" si="10"/>
        <v>HDPE</v>
      </c>
      <c r="BG20" s="30" t="str">
        <f t="shared" si="11"/>
        <v>P</v>
      </c>
      <c r="BH20" s="30" t="str">
        <f t="shared" si="12"/>
        <v>M</v>
      </c>
      <c r="BI20" s="30" t="str">
        <f t="shared" si="13"/>
        <v>S</v>
      </c>
      <c r="BJ20" s="13"/>
      <c r="BK20" s="49" t="s">
        <v>106</v>
      </c>
      <c r="BL20" s="13"/>
      <c r="BM20" s="13" t="s">
        <v>462</v>
      </c>
      <c r="BN20" s="341">
        <v>1.2424501090061431</v>
      </c>
      <c r="BO20" s="341">
        <v>1.610289218455726</v>
      </c>
      <c r="BP20" s="341">
        <v>1.950237473276492</v>
      </c>
      <c r="BQ20" s="13">
        <v>86</v>
      </c>
      <c r="BR20" s="13" t="s">
        <v>82</v>
      </c>
      <c r="BS20" s="13" t="s">
        <v>66</v>
      </c>
      <c r="BT20" s="13" t="s">
        <v>87</v>
      </c>
      <c r="BU20" s="13" t="s">
        <v>105</v>
      </c>
      <c r="BV20" s="15">
        <v>10</v>
      </c>
      <c r="BW20" s="15">
        <v>10</v>
      </c>
      <c r="BX20" s="15">
        <v>1</v>
      </c>
      <c r="BY20" s="15">
        <v>1.4139999999999999</v>
      </c>
      <c r="BZ20" s="15">
        <v>3.4049999999999998</v>
      </c>
      <c r="CA20" s="15" t="s">
        <v>69</v>
      </c>
      <c r="CB20" s="15">
        <v>70.577699999999993</v>
      </c>
      <c r="CC20" s="15">
        <v>78.796099999999996</v>
      </c>
      <c r="CD20" s="15">
        <v>3807.2950310992551</v>
      </c>
      <c r="CE20" s="15" t="s">
        <v>68</v>
      </c>
      <c r="CF20" s="15">
        <v>1.752</v>
      </c>
      <c r="CG20" s="15">
        <v>83.01</v>
      </c>
      <c r="CH20" s="15">
        <v>0.02</v>
      </c>
      <c r="CI20" s="15">
        <v>363.464</v>
      </c>
      <c r="CJ20" s="15">
        <v>110</v>
      </c>
      <c r="CK20" s="15" t="s">
        <v>71</v>
      </c>
      <c r="CL20" s="15">
        <v>250</v>
      </c>
      <c r="CM20" s="15" t="s">
        <v>83</v>
      </c>
      <c r="CN20" s="15">
        <v>0</v>
      </c>
      <c r="CO20" s="15" t="s">
        <v>73</v>
      </c>
      <c r="CP20" s="15" t="s">
        <v>100</v>
      </c>
      <c r="CQ20" s="15" t="s">
        <v>70</v>
      </c>
      <c r="CR20" s="15" t="s">
        <v>70</v>
      </c>
      <c r="CS20" s="15" t="s">
        <v>102</v>
      </c>
      <c r="CT20" s="15" t="s">
        <v>70</v>
      </c>
      <c r="CU20" s="15" t="s">
        <v>73</v>
      </c>
      <c r="CV20" s="15" t="s">
        <v>70</v>
      </c>
      <c r="CW20" s="15" t="s">
        <v>68</v>
      </c>
      <c r="CX20" s="15" t="s">
        <v>70</v>
      </c>
      <c r="CY20" s="15">
        <v>0.54218</v>
      </c>
      <c r="CZ20" s="15">
        <v>0.54049000000000003</v>
      </c>
      <c r="DA20" s="15">
        <v>1.6899999999999693E-3</v>
      </c>
      <c r="DB20" s="15" t="s">
        <v>75</v>
      </c>
      <c r="DC20" s="15">
        <v>280689</v>
      </c>
      <c r="DD20" s="15">
        <v>128</v>
      </c>
      <c r="DE20" s="15">
        <v>200</v>
      </c>
      <c r="DF20" s="15">
        <v>1000000</v>
      </c>
      <c r="DG20" s="15">
        <v>6</v>
      </c>
      <c r="DH20" s="15">
        <v>5.6</v>
      </c>
      <c r="DI20" s="15">
        <v>1.1000000000000001</v>
      </c>
      <c r="DJ20" s="15">
        <v>0.34</v>
      </c>
      <c r="DK20" s="15">
        <v>21.5</v>
      </c>
      <c r="DL20" s="15">
        <v>21.5</v>
      </c>
      <c r="DM20" s="15">
        <v>59</v>
      </c>
      <c r="DN20" s="15" t="s">
        <v>76</v>
      </c>
    </row>
    <row r="21" spans="1:118">
      <c r="A21" s="25" t="str">
        <f t="shared" si="14"/>
        <v>HVIL001-HDPE-RT-AL-S10.0-0016</v>
      </c>
      <c r="B21" s="48">
        <v>43936.604166666664</v>
      </c>
      <c r="C21" s="632"/>
      <c r="D21" s="632"/>
      <c r="E21" s="632"/>
      <c r="F21" s="51">
        <v>16</v>
      </c>
      <c r="G21" s="44" t="s">
        <v>82</v>
      </c>
      <c r="H21" s="37" t="s">
        <v>66</v>
      </c>
      <c r="I21" s="45" t="s">
        <v>87</v>
      </c>
      <c r="J21" s="45" t="s">
        <v>105</v>
      </c>
      <c r="K21" s="39">
        <v>10</v>
      </c>
      <c r="L21" s="39">
        <v>10</v>
      </c>
      <c r="M21" s="39">
        <v>1</v>
      </c>
      <c r="N21" s="31">
        <v>1.4159999999999999</v>
      </c>
      <c r="O21" s="63">
        <v>3.395</v>
      </c>
      <c r="P21" s="37" t="s">
        <v>69</v>
      </c>
      <c r="Q21" s="53" t="s">
        <v>68</v>
      </c>
      <c r="R21" s="53">
        <v>57.614904000000003</v>
      </c>
      <c r="S21" s="457">
        <f t="shared" si="15"/>
        <v>5206.9860256991833</v>
      </c>
      <c r="T21" s="537" t="s">
        <v>68</v>
      </c>
      <c r="U21" s="60">
        <v>1.202</v>
      </c>
      <c r="V21" s="60">
        <v>110.173</v>
      </c>
      <c r="W21" s="60">
        <v>0.02</v>
      </c>
      <c r="X21" s="60">
        <v>363.63799999999998</v>
      </c>
      <c r="Y21" s="31">
        <v>252</v>
      </c>
      <c r="Z21" s="37" t="s">
        <v>71</v>
      </c>
      <c r="AA21" s="31">
        <v>140</v>
      </c>
      <c r="AB21" s="39" t="s">
        <v>83</v>
      </c>
      <c r="AC21" s="37">
        <v>0</v>
      </c>
      <c r="AD21" s="37" t="s">
        <v>73</v>
      </c>
      <c r="AE21" s="40" t="s">
        <v>100</v>
      </c>
      <c r="AF21" s="40" t="str">
        <f t="shared" si="6"/>
        <v>N/A</v>
      </c>
      <c r="AG21" s="40" t="str">
        <f t="shared" si="6"/>
        <v>N/A</v>
      </c>
      <c r="AH21" s="40" t="s">
        <v>102</v>
      </c>
      <c r="AI21" s="40" t="str">
        <f t="shared" si="7"/>
        <v>N/A</v>
      </c>
      <c r="AJ21" s="40" t="s">
        <v>73</v>
      </c>
      <c r="AK21" s="40" t="str">
        <f t="shared" si="16"/>
        <v>N/A</v>
      </c>
      <c r="AL21" s="40" t="s">
        <v>70</v>
      </c>
      <c r="AM21" s="40" t="str">
        <f t="shared" si="16"/>
        <v>N/A</v>
      </c>
      <c r="AN21" s="291">
        <v>0.56200000000000006</v>
      </c>
      <c r="AO21" s="291">
        <v>0.55815999999999999</v>
      </c>
      <c r="AP21" s="291">
        <f t="shared" si="8"/>
        <v>3.8400000000000656E-3</v>
      </c>
      <c r="AQ21" s="40" t="s">
        <v>75</v>
      </c>
      <c r="AR21" s="285">
        <v>187462</v>
      </c>
      <c r="AS21" s="28">
        <v>256</v>
      </c>
      <c r="AT21" s="28">
        <v>200</v>
      </c>
      <c r="AU21" s="34">
        <v>1000000</v>
      </c>
      <c r="AV21" s="278" t="s">
        <v>68</v>
      </c>
      <c r="AW21" s="278" t="s">
        <v>68</v>
      </c>
      <c r="AX21" s="262" t="s">
        <v>68</v>
      </c>
      <c r="AY21" s="281" t="s">
        <v>68</v>
      </c>
      <c r="AZ21" s="61">
        <v>21.4</v>
      </c>
      <c r="BA21" s="271">
        <v>21.4</v>
      </c>
      <c r="BB21" s="31">
        <v>38</v>
      </c>
      <c r="BC21" s="42" t="s">
        <v>76</v>
      </c>
      <c r="BD21" s="29"/>
      <c r="BE21" s="30" t="str">
        <f t="shared" si="9"/>
        <v>AL</v>
      </c>
      <c r="BF21" s="30" t="str">
        <f t="shared" si="10"/>
        <v>HDPE</v>
      </c>
      <c r="BG21" s="30" t="str">
        <f t="shared" si="11"/>
        <v>P</v>
      </c>
      <c r="BH21" s="30" t="str">
        <f t="shared" si="12"/>
        <v>M</v>
      </c>
      <c r="BI21" s="30" t="str">
        <f t="shared" si="13"/>
        <v>S</v>
      </c>
      <c r="BJ21" s="13"/>
      <c r="BK21" s="49" t="s">
        <v>107</v>
      </c>
      <c r="BL21" s="13"/>
      <c r="BM21" s="13" t="s">
        <v>172</v>
      </c>
      <c r="BN21" s="341">
        <v>1.755361277623646</v>
      </c>
      <c r="BO21" s="341">
        <v>2.143365790497803</v>
      </c>
      <c r="BP21" s="341">
        <v>2.529671296825331</v>
      </c>
      <c r="BQ21" s="13">
        <v>87</v>
      </c>
      <c r="BR21" s="13" t="s">
        <v>129</v>
      </c>
      <c r="BS21" s="13" t="s">
        <v>66</v>
      </c>
      <c r="BT21" s="13" t="s">
        <v>130</v>
      </c>
      <c r="BU21" s="13" t="s">
        <v>131</v>
      </c>
      <c r="BV21" s="15">
        <v>10</v>
      </c>
      <c r="BW21" s="15">
        <v>10</v>
      </c>
      <c r="BX21" s="15">
        <v>1</v>
      </c>
      <c r="BY21" s="15">
        <v>4.0599999999999996</v>
      </c>
      <c r="BZ21" s="15">
        <v>6.0449999999999999</v>
      </c>
      <c r="CA21" s="15" t="s">
        <v>69</v>
      </c>
      <c r="CB21" s="15">
        <v>98.424800000000005</v>
      </c>
      <c r="CC21" s="15">
        <v>132.495349</v>
      </c>
      <c r="CD21" s="15">
        <v>2264.1999999999998</v>
      </c>
      <c r="CE21" s="15" t="s">
        <v>68</v>
      </c>
      <c r="CF21" s="15">
        <v>1.756</v>
      </c>
      <c r="CG21" s="15">
        <v>65.322999999999993</v>
      </c>
      <c r="CH21" s="15">
        <v>0.02</v>
      </c>
      <c r="CI21" s="15">
        <v>363.13</v>
      </c>
      <c r="CJ21" s="15">
        <v>300</v>
      </c>
      <c r="CK21" s="15" t="s">
        <v>71</v>
      </c>
      <c r="CL21" s="15">
        <v>250</v>
      </c>
      <c r="CM21" s="15" t="s">
        <v>132</v>
      </c>
      <c r="CN21" s="15">
        <v>0</v>
      </c>
      <c r="CO21" s="15" t="s">
        <v>73</v>
      </c>
      <c r="CP21" s="15" t="s">
        <v>133</v>
      </c>
      <c r="CQ21" s="15" t="s">
        <v>70</v>
      </c>
      <c r="CR21" s="15" t="s">
        <v>70</v>
      </c>
      <c r="CS21" s="15" t="s">
        <v>173</v>
      </c>
      <c r="CT21" s="15" t="s">
        <v>70</v>
      </c>
      <c r="CU21" s="15" t="s">
        <v>73</v>
      </c>
      <c r="CV21" s="15" t="s">
        <v>70</v>
      </c>
      <c r="CW21" s="15" t="s">
        <v>68</v>
      </c>
      <c r="CX21" s="15" t="s">
        <v>70</v>
      </c>
      <c r="CY21" s="15">
        <v>21.63</v>
      </c>
      <c r="CZ21" s="15" t="s">
        <v>68</v>
      </c>
      <c r="DA21" s="15" t="s">
        <v>68</v>
      </c>
      <c r="DB21" s="15" t="s">
        <v>75</v>
      </c>
      <c r="DC21" s="15">
        <v>338004</v>
      </c>
      <c r="DD21" s="15">
        <v>128</v>
      </c>
      <c r="DE21" s="15">
        <v>200</v>
      </c>
      <c r="DF21" s="15">
        <v>2000000</v>
      </c>
      <c r="DG21" s="15">
        <v>6</v>
      </c>
      <c r="DH21" s="15">
        <v>8</v>
      </c>
      <c r="DI21" s="15">
        <v>1.1000000000000001</v>
      </c>
      <c r="DJ21" s="15">
        <v>0.33</v>
      </c>
      <c r="DK21" s="15">
        <v>21.5</v>
      </c>
      <c r="DL21" s="15">
        <v>21.5</v>
      </c>
      <c r="DM21" s="15">
        <v>57</v>
      </c>
      <c r="DN21" s="15" t="s">
        <v>76</v>
      </c>
    </row>
    <row r="22" spans="1:118">
      <c r="A22" s="25" t="str">
        <f t="shared" si="14"/>
        <v>HVIL001-UHMWPE-RT-AL-S10.0-0017</v>
      </c>
      <c r="B22" s="48">
        <v>43942.569444444445</v>
      </c>
      <c r="C22" s="632"/>
      <c r="D22" s="632"/>
      <c r="E22" s="632"/>
      <c r="F22" s="50">
        <v>17</v>
      </c>
      <c r="G22" s="44" t="s">
        <v>82</v>
      </c>
      <c r="H22" s="37" t="s">
        <v>66</v>
      </c>
      <c r="I22" s="45" t="s">
        <v>87</v>
      </c>
      <c r="J22" s="45" t="s">
        <v>105</v>
      </c>
      <c r="K22" s="39">
        <v>10</v>
      </c>
      <c r="L22" s="39">
        <v>10</v>
      </c>
      <c r="M22" s="39">
        <v>1</v>
      </c>
      <c r="N22" s="31">
        <v>1.415</v>
      </c>
      <c r="O22" s="63">
        <v>3.3809999999999998</v>
      </c>
      <c r="P22" s="37" t="s">
        <v>69</v>
      </c>
      <c r="Q22" s="53" t="s">
        <v>68</v>
      </c>
      <c r="R22" s="53">
        <v>61.730139999999999</v>
      </c>
      <c r="S22" s="457">
        <f t="shared" si="15"/>
        <v>4859.8626214034184</v>
      </c>
      <c r="T22" s="537" t="s">
        <v>68</v>
      </c>
      <c r="U22" s="60">
        <v>1.2989999999999999</v>
      </c>
      <c r="V22" s="60">
        <v>110.003</v>
      </c>
      <c r="W22" s="60">
        <v>0.02</v>
      </c>
      <c r="X22" s="60">
        <v>366.40800000000002</v>
      </c>
      <c r="Y22" s="31">
        <v>210</v>
      </c>
      <c r="Z22" s="37" t="s">
        <v>71</v>
      </c>
      <c r="AA22" s="31">
        <v>140</v>
      </c>
      <c r="AB22" s="39" t="s">
        <v>83</v>
      </c>
      <c r="AC22" s="37">
        <v>0</v>
      </c>
      <c r="AD22" s="37" t="s">
        <v>73</v>
      </c>
      <c r="AE22" s="40" t="s">
        <v>108</v>
      </c>
      <c r="AF22" s="40" t="str">
        <f t="shared" si="6"/>
        <v>N/A</v>
      </c>
      <c r="AG22" s="40" t="str">
        <f t="shared" si="6"/>
        <v>N/A</v>
      </c>
      <c r="AH22" s="40" t="s">
        <v>109</v>
      </c>
      <c r="AI22" s="40" t="str">
        <f t="shared" si="7"/>
        <v>N/A</v>
      </c>
      <c r="AJ22" s="40" t="s">
        <v>73</v>
      </c>
      <c r="AK22" s="40" t="str">
        <f t="shared" si="16"/>
        <v>N/A</v>
      </c>
      <c r="AL22" s="40" t="s">
        <v>70</v>
      </c>
      <c r="AM22" s="40" t="str">
        <f t="shared" si="16"/>
        <v>N/A</v>
      </c>
      <c r="AN22" s="291">
        <v>0.56799999999999995</v>
      </c>
      <c r="AO22" s="291">
        <v>0.53600000000000003</v>
      </c>
      <c r="AP22" s="291">
        <f t="shared" si="8"/>
        <v>3.1999999999999917E-2</v>
      </c>
      <c r="AQ22" s="40" t="s">
        <v>75</v>
      </c>
      <c r="AR22" s="285">
        <v>194050</v>
      </c>
      <c r="AS22" s="28">
        <v>128</v>
      </c>
      <c r="AT22" s="28">
        <v>200</v>
      </c>
      <c r="AU22" s="34">
        <v>1000000</v>
      </c>
      <c r="AV22" s="278" t="s">
        <v>68</v>
      </c>
      <c r="AW22" s="278" t="s">
        <v>68</v>
      </c>
      <c r="AX22" s="262" t="s">
        <v>68</v>
      </c>
      <c r="AY22" s="281" t="s">
        <v>68</v>
      </c>
      <c r="AZ22" s="61">
        <v>21.6</v>
      </c>
      <c r="BA22" s="271">
        <v>21.6</v>
      </c>
      <c r="BB22" s="31">
        <v>57</v>
      </c>
      <c r="BC22" s="42" t="s">
        <v>76</v>
      </c>
      <c r="BD22" s="29"/>
      <c r="BE22" s="30" t="str">
        <f t="shared" si="9"/>
        <v>AL</v>
      </c>
      <c r="BF22" s="30" t="str">
        <f t="shared" si="10"/>
        <v>UHMWPE</v>
      </c>
      <c r="BG22" s="30" t="str">
        <f t="shared" si="11"/>
        <v>P</v>
      </c>
      <c r="BH22" s="30" t="str">
        <f t="shared" si="12"/>
        <v>M</v>
      </c>
      <c r="BI22" s="30" t="str">
        <f t="shared" si="13"/>
        <v>S</v>
      </c>
      <c r="BJ22" s="13"/>
      <c r="BK22" s="49"/>
      <c r="BL22" s="13"/>
      <c r="BM22" s="13" t="s">
        <v>175</v>
      </c>
      <c r="BN22" s="341">
        <v>1.1926903355249741</v>
      </c>
      <c r="BO22" s="341">
        <v>1.5314084755892481</v>
      </c>
      <c r="BP22" s="341">
        <v>1.8740959849367069</v>
      </c>
      <c r="BQ22" s="13">
        <v>89</v>
      </c>
      <c r="BR22" s="13" t="s">
        <v>82</v>
      </c>
      <c r="BS22" s="13" t="s">
        <v>66</v>
      </c>
      <c r="BT22" s="13" t="s">
        <v>87</v>
      </c>
      <c r="BU22" s="13" t="s">
        <v>105</v>
      </c>
      <c r="BV22" s="15">
        <v>10</v>
      </c>
      <c r="BW22" s="15">
        <v>10</v>
      </c>
      <c r="BX22" s="15">
        <v>1</v>
      </c>
      <c r="BY22" s="15">
        <v>1.4139999999999999</v>
      </c>
      <c r="BZ22" s="15">
        <v>3.395</v>
      </c>
      <c r="CA22" s="15" t="s">
        <v>69</v>
      </c>
      <c r="CB22" s="15">
        <v>46.1586</v>
      </c>
      <c r="CC22" s="15">
        <v>50.80791</v>
      </c>
      <c r="CD22" s="15">
        <v>5933.1</v>
      </c>
      <c r="CE22" s="15" t="s">
        <v>68</v>
      </c>
      <c r="CF22" s="15">
        <v>1.7490000000000001</v>
      </c>
      <c r="CG22" s="15">
        <v>129.999</v>
      </c>
      <c r="CH22" s="15">
        <v>0.02</v>
      </c>
      <c r="CI22" s="15">
        <v>363.05200000000002</v>
      </c>
      <c r="CJ22" s="15">
        <v>80</v>
      </c>
      <c r="CK22" s="15" t="s">
        <v>71</v>
      </c>
      <c r="CL22" s="15">
        <v>220</v>
      </c>
      <c r="CM22" s="15" t="s">
        <v>83</v>
      </c>
      <c r="CN22" s="15">
        <v>0</v>
      </c>
      <c r="CO22" s="15" t="s">
        <v>73</v>
      </c>
      <c r="CP22" s="15" t="s">
        <v>100</v>
      </c>
      <c r="CQ22" s="15" t="s">
        <v>70</v>
      </c>
      <c r="CR22" s="15" t="s">
        <v>70</v>
      </c>
      <c r="CS22" s="15" t="s">
        <v>102</v>
      </c>
      <c r="CT22" s="15" t="s">
        <v>70</v>
      </c>
      <c r="CU22" s="15" t="s">
        <v>73</v>
      </c>
      <c r="CV22" s="15" t="s">
        <v>70</v>
      </c>
      <c r="CW22" s="15" t="s">
        <v>68</v>
      </c>
      <c r="CX22" s="15" t="s">
        <v>70</v>
      </c>
      <c r="CY22" s="15">
        <v>0.54205000000000003</v>
      </c>
      <c r="CZ22" s="15">
        <v>0.53947999999999996</v>
      </c>
      <c r="DA22" s="15">
        <v>2.5699999999999998E-3</v>
      </c>
      <c r="DB22" s="15" t="s">
        <v>75</v>
      </c>
      <c r="DC22" s="15">
        <v>160017</v>
      </c>
      <c r="DD22" s="15">
        <v>128</v>
      </c>
      <c r="DE22" s="15">
        <v>200</v>
      </c>
      <c r="DF22" s="15">
        <v>1000000</v>
      </c>
      <c r="DG22" s="15">
        <v>6</v>
      </c>
      <c r="DH22" s="15">
        <v>5.6</v>
      </c>
      <c r="DI22" s="15">
        <v>1.1000000000000001</v>
      </c>
      <c r="DJ22" s="15">
        <v>0.34</v>
      </c>
      <c r="DK22" s="15">
        <v>21.5</v>
      </c>
      <c r="DL22" s="15">
        <v>21.5</v>
      </c>
      <c r="DM22" s="15">
        <v>59</v>
      </c>
      <c r="DN22" s="15" t="s">
        <v>73</v>
      </c>
    </row>
    <row r="23" spans="1:118">
      <c r="A23" s="25" t="str">
        <f t="shared" si="14"/>
        <v>HVIL001-HDPE-RT-AL-S10.0-0018</v>
      </c>
      <c r="B23" s="48">
        <v>43942.71875</v>
      </c>
      <c r="C23" s="632"/>
      <c r="D23" s="632"/>
      <c r="E23" s="632"/>
      <c r="F23" s="50">
        <v>18</v>
      </c>
      <c r="G23" s="44" t="s">
        <v>82</v>
      </c>
      <c r="H23" s="37" t="s">
        <v>66</v>
      </c>
      <c r="I23" s="45" t="s">
        <v>87</v>
      </c>
      <c r="J23" s="45" t="s">
        <v>105</v>
      </c>
      <c r="K23" s="39">
        <v>10</v>
      </c>
      <c r="L23" s="39">
        <v>10</v>
      </c>
      <c r="M23" s="39">
        <v>1</v>
      </c>
      <c r="N23" s="31">
        <v>1.419</v>
      </c>
      <c r="O23" s="63">
        <v>3.3820000000000001</v>
      </c>
      <c r="P23" s="37" t="s">
        <v>69</v>
      </c>
      <c r="Q23" s="53" t="s">
        <v>68</v>
      </c>
      <c r="R23" s="53" t="s">
        <v>70</v>
      </c>
      <c r="S23" s="457" t="s">
        <v>70</v>
      </c>
      <c r="T23" s="537" t="s">
        <v>68</v>
      </c>
      <c r="U23" s="60">
        <v>1.3009999999999999</v>
      </c>
      <c r="V23" s="60">
        <v>109.999</v>
      </c>
      <c r="W23" s="60">
        <v>0.02</v>
      </c>
      <c r="X23" s="60">
        <v>363.86</v>
      </c>
      <c r="Y23" s="31">
        <v>210</v>
      </c>
      <c r="Z23" s="37" t="s">
        <v>71</v>
      </c>
      <c r="AA23" s="31">
        <v>140</v>
      </c>
      <c r="AB23" s="39" t="s">
        <v>83</v>
      </c>
      <c r="AC23" s="37">
        <v>0</v>
      </c>
      <c r="AD23" s="37" t="s">
        <v>73</v>
      </c>
      <c r="AE23" s="40" t="s">
        <v>100</v>
      </c>
      <c r="AF23" s="40" t="str">
        <f t="shared" si="6"/>
        <v>N/A</v>
      </c>
      <c r="AG23" s="40" t="str">
        <f t="shared" si="6"/>
        <v>N/A</v>
      </c>
      <c r="AH23" s="40" t="s">
        <v>102</v>
      </c>
      <c r="AI23" s="40" t="str">
        <f t="shared" si="7"/>
        <v>N/A</v>
      </c>
      <c r="AJ23" s="40" t="s">
        <v>73</v>
      </c>
      <c r="AK23" s="40" t="str">
        <f t="shared" ref="AK23:AM86" si="17">IF($AJ23="N","N/A"," ")</f>
        <v>N/A</v>
      </c>
      <c r="AL23" s="40" t="s">
        <v>70</v>
      </c>
      <c r="AM23" s="40" t="str">
        <f t="shared" si="17"/>
        <v>N/A</v>
      </c>
      <c r="AN23" s="291" t="s">
        <v>68</v>
      </c>
      <c r="AO23" s="291" t="s">
        <v>68</v>
      </c>
      <c r="AP23" s="291" t="str">
        <f t="shared" si="8"/>
        <v>N/R</v>
      </c>
      <c r="AQ23" s="40" t="s">
        <v>75</v>
      </c>
      <c r="AR23" s="285" t="s">
        <v>70</v>
      </c>
      <c r="AS23" s="28">
        <v>128</v>
      </c>
      <c r="AT23" s="28">
        <v>200</v>
      </c>
      <c r="AU23" s="34">
        <v>1000000</v>
      </c>
      <c r="AV23" s="278" t="s">
        <v>68</v>
      </c>
      <c r="AW23" s="278" t="s">
        <v>68</v>
      </c>
      <c r="AX23" s="262" t="s">
        <v>68</v>
      </c>
      <c r="AY23" s="281" t="s">
        <v>68</v>
      </c>
      <c r="AZ23" s="61">
        <v>21.3</v>
      </c>
      <c r="BA23" s="271">
        <v>21.3</v>
      </c>
      <c r="BB23" s="31">
        <v>57</v>
      </c>
      <c r="BC23" s="42" t="s">
        <v>73</v>
      </c>
      <c r="BD23" s="29"/>
      <c r="BE23" s="30" t="str">
        <f t="shared" si="9"/>
        <v>AL</v>
      </c>
      <c r="BF23" s="30" t="str">
        <f t="shared" si="10"/>
        <v>HDPE</v>
      </c>
      <c r="BG23" s="30" t="str">
        <f t="shared" si="11"/>
        <v>P</v>
      </c>
      <c r="BH23" s="30" t="str">
        <f t="shared" si="12"/>
        <v>M</v>
      </c>
      <c r="BI23" s="30" t="str">
        <f t="shared" si="13"/>
        <v>S</v>
      </c>
      <c r="BJ23" s="13"/>
      <c r="BK23" s="49" t="s">
        <v>110</v>
      </c>
      <c r="BL23" s="13"/>
      <c r="BM23" s="13" t="s">
        <v>176</v>
      </c>
      <c r="BN23" s="341">
        <v>1.214306631698475</v>
      </c>
      <c r="BO23" s="341">
        <v>1.6299645380333061</v>
      </c>
      <c r="BP23" s="341">
        <v>2.059931902416793</v>
      </c>
      <c r="BQ23" s="13">
        <v>90</v>
      </c>
      <c r="BR23" s="13" t="s">
        <v>82</v>
      </c>
      <c r="BS23" s="13" t="s">
        <v>66</v>
      </c>
      <c r="BT23" s="13" t="s">
        <v>87</v>
      </c>
      <c r="BU23" s="13" t="s">
        <v>105</v>
      </c>
      <c r="BV23" s="15">
        <v>10</v>
      </c>
      <c r="BW23" s="15">
        <v>10</v>
      </c>
      <c r="BX23" s="15">
        <v>1</v>
      </c>
      <c r="BY23" s="15">
        <v>1.4279999999999999</v>
      </c>
      <c r="BZ23" s="15">
        <v>3.4159999999999999</v>
      </c>
      <c r="CA23" s="15" t="s">
        <v>69</v>
      </c>
      <c r="CB23" s="15">
        <v>82.578800000000001</v>
      </c>
      <c r="CC23" s="15">
        <v>76.991776000000002</v>
      </c>
      <c r="CD23" s="15">
        <v>3896.5</v>
      </c>
      <c r="CE23" s="15" t="s">
        <v>68</v>
      </c>
      <c r="CF23" s="15">
        <v>1.75</v>
      </c>
      <c r="CG23" s="15">
        <v>85.033000000000001</v>
      </c>
      <c r="CH23" s="15">
        <v>0.02</v>
      </c>
      <c r="CI23" s="15">
        <v>363.113</v>
      </c>
      <c r="CJ23" s="15">
        <v>100</v>
      </c>
      <c r="CK23" s="15" t="s">
        <v>71</v>
      </c>
      <c r="CL23" s="15">
        <v>250</v>
      </c>
      <c r="CM23" s="15" t="s">
        <v>83</v>
      </c>
      <c r="CN23" s="15">
        <v>0</v>
      </c>
      <c r="CO23" s="15" t="s">
        <v>73</v>
      </c>
      <c r="CP23" s="15" t="s">
        <v>100</v>
      </c>
      <c r="CQ23" s="15" t="s">
        <v>70</v>
      </c>
      <c r="CR23" s="15" t="s">
        <v>70</v>
      </c>
      <c r="CS23" s="15" t="s">
        <v>102</v>
      </c>
      <c r="CT23" s="15" t="s">
        <v>70</v>
      </c>
      <c r="CU23" s="15" t="s">
        <v>73</v>
      </c>
      <c r="CV23" s="15" t="s">
        <v>70</v>
      </c>
      <c r="CW23" s="15" t="s">
        <v>68</v>
      </c>
      <c r="CX23" s="15" t="s">
        <v>70</v>
      </c>
      <c r="CY23" s="15">
        <v>0.55667999999999995</v>
      </c>
      <c r="CZ23" s="15">
        <v>0.55488999999999999</v>
      </c>
      <c r="DA23" s="15">
        <v>1.7899999999999999E-3</v>
      </c>
      <c r="DB23" s="15" t="s">
        <v>75</v>
      </c>
      <c r="DC23" s="15">
        <v>258897</v>
      </c>
      <c r="DD23" s="15">
        <v>128</v>
      </c>
      <c r="DE23" s="15">
        <v>200</v>
      </c>
      <c r="DF23" s="15">
        <v>1000000</v>
      </c>
      <c r="DG23" s="15">
        <v>6</v>
      </c>
      <c r="DH23" s="15">
        <v>5.6</v>
      </c>
      <c r="DI23" s="15">
        <v>1.1000000000000001</v>
      </c>
      <c r="DJ23" s="15">
        <v>0.34</v>
      </c>
      <c r="DK23" s="15">
        <v>21.5</v>
      </c>
      <c r="DL23" s="15">
        <v>21.5</v>
      </c>
      <c r="DM23" s="15">
        <v>37</v>
      </c>
      <c r="DN23" s="15" t="s">
        <v>76</v>
      </c>
    </row>
    <row r="24" spans="1:118">
      <c r="A24" s="25" t="str">
        <f t="shared" si="14"/>
        <v>HVIL001-UHMWPE-RT-AL-S10.0-0019</v>
      </c>
      <c r="B24" s="48">
        <v>43944.548611111109</v>
      </c>
      <c r="C24" s="632"/>
      <c r="D24" s="632"/>
      <c r="E24" s="632"/>
      <c r="F24" s="51">
        <v>19</v>
      </c>
      <c r="G24" s="44" t="s">
        <v>82</v>
      </c>
      <c r="H24" s="37" t="s">
        <v>66</v>
      </c>
      <c r="I24" s="45" t="s">
        <v>87</v>
      </c>
      <c r="J24" s="45" t="s">
        <v>105</v>
      </c>
      <c r="K24" s="39">
        <v>10</v>
      </c>
      <c r="L24" s="39">
        <v>10</v>
      </c>
      <c r="M24" s="39">
        <v>1</v>
      </c>
      <c r="N24" s="31">
        <v>1.419</v>
      </c>
      <c r="O24" s="63">
        <v>3.407</v>
      </c>
      <c r="P24" s="37" t="s">
        <v>69</v>
      </c>
      <c r="Q24" s="53" t="s">
        <v>68</v>
      </c>
      <c r="R24" s="53">
        <v>55.508786000000001</v>
      </c>
      <c r="S24" s="457">
        <f t="shared" ref="S24:S55" si="18">IF(ISNUMBER(R24),distx/(R24*10^-6),"")</f>
        <v>5404.5498310843977</v>
      </c>
      <c r="T24" s="537" t="s">
        <v>68</v>
      </c>
      <c r="U24" s="60">
        <v>1.302</v>
      </c>
      <c r="V24" s="60">
        <v>110.2</v>
      </c>
      <c r="W24" s="60">
        <v>0.02</v>
      </c>
      <c r="X24" s="60">
        <v>363.78399999999999</v>
      </c>
      <c r="Y24" s="31">
        <v>200</v>
      </c>
      <c r="Z24" s="37" t="s">
        <v>71</v>
      </c>
      <c r="AA24" s="31">
        <v>140</v>
      </c>
      <c r="AB24" s="39" t="s">
        <v>83</v>
      </c>
      <c r="AC24" s="37">
        <v>0</v>
      </c>
      <c r="AD24" s="37" t="s">
        <v>73</v>
      </c>
      <c r="AE24" s="40" t="s">
        <v>108</v>
      </c>
      <c r="AF24" s="40" t="str">
        <f t="shared" si="6"/>
        <v>N/A</v>
      </c>
      <c r="AG24" s="40" t="str">
        <f t="shared" si="6"/>
        <v>N/A</v>
      </c>
      <c r="AH24" s="40" t="s">
        <v>109</v>
      </c>
      <c r="AI24" s="40" t="str">
        <f t="shared" si="7"/>
        <v>N/A</v>
      </c>
      <c r="AJ24" s="40" t="s">
        <v>73</v>
      </c>
      <c r="AK24" s="40" t="str">
        <f t="shared" si="17"/>
        <v>N/A</v>
      </c>
      <c r="AL24" s="40" t="s">
        <v>70</v>
      </c>
      <c r="AM24" s="40" t="str">
        <f t="shared" si="17"/>
        <v>N/A</v>
      </c>
      <c r="AN24" s="291">
        <v>0.58199999999999996</v>
      </c>
      <c r="AO24" s="291">
        <v>0.57599999999999996</v>
      </c>
      <c r="AP24" s="291">
        <f t="shared" si="8"/>
        <v>6.0000000000000053E-3</v>
      </c>
      <c r="AQ24" s="40" t="s">
        <v>75</v>
      </c>
      <c r="AR24" s="285">
        <v>174693</v>
      </c>
      <c r="AS24" s="28">
        <v>128</v>
      </c>
      <c r="AT24" s="28">
        <v>200</v>
      </c>
      <c r="AU24" s="34">
        <v>1000000</v>
      </c>
      <c r="AV24" s="278" t="s">
        <v>68</v>
      </c>
      <c r="AW24" s="278" t="s">
        <v>68</v>
      </c>
      <c r="AX24" s="262" t="s">
        <v>68</v>
      </c>
      <c r="AY24" s="281" t="s">
        <v>68</v>
      </c>
      <c r="AZ24" s="61">
        <v>21.4</v>
      </c>
      <c r="BA24" s="271">
        <v>21.3</v>
      </c>
      <c r="BB24" s="31">
        <v>57</v>
      </c>
      <c r="BC24" s="42" t="s">
        <v>76</v>
      </c>
      <c r="BD24" s="29"/>
      <c r="BE24" s="30" t="str">
        <f t="shared" si="9"/>
        <v>AL</v>
      </c>
      <c r="BF24" s="30" t="str">
        <f t="shared" si="10"/>
        <v>UHMWPE</v>
      </c>
      <c r="BG24" s="30" t="str">
        <f t="shared" si="11"/>
        <v>P</v>
      </c>
      <c r="BH24" s="30" t="str">
        <f t="shared" si="12"/>
        <v>M</v>
      </c>
      <c r="BI24" s="30" t="str">
        <f t="shared" si="13"/>
        <v>S</v>
      </c>
      <c r="BJ24" s="13"/>
      <c r="BK24" s="49"/>
      <c r="BL24" s="13"/>
      <c r="BM24" s="13" t="s">
        <v>179</v>
      </c>
      <c r="BN24" s="341">
        <v>1.7373669468969619</v>
      </c>
      <c r="BO24" s="341">
        <v>2.137230837347087</v>
      </c>
      <c r="BP24" s="341">
        <v>2.5577770175951269</v>
      </c>
      <c r="BQ24" s="13">
        <v>93</v>
      </c>
      <c r="BR24" s="13" t="s">
        <v>82</v>
      </c>
      <c r="BS24" s="13" t="s">
        <v>66</v>
      </c>
      <c r="BT24" s="13" t="s">
        <v>87</v>
      </c>
      <c r="BU24" s="13" t="s">
        <v>105</v>
      </c>
      <c r="BV24" s="15">
        <v>10</v>
      </c>
      <c r="BW24" s="15">
        <v>10</v>
      </c>
      <c r="BX24" s="15">
        <v>1</v>
      </c>
      <c r="BY24" s="15">
        <v>1.415</v>
      </c>
      <c r="BZ24" s="15">
        <v>3.4089999999999998</v>
      </c>
      <c r="CA24" s="15" t="s">
        <v>69</v>
      </c>
      <c r="CB24" s="15">
        <v>85.601500000000001</v>
      </c>
      <c r="CC24" s="15">
        <v>123.20823799999999</v>
      </c>
      <c r="CD24" s="15">
        <v>2434.9</v>
      </c>
      <c r="CE24" s="15" t="s">
        <v>68</v>
      </c>
      <c r="CF24" s="15">
        <v>1.7509999999999999</v>
      </c>
      <c r="CG24" s="15">
        <v>65</v>
      </c>
      <c r="CH24" s="15">
        <v>0.02</v>
      </c>
      <c r="CI24" s="15">
        <v>362.66800000000001</v>
      </c>
      <c r="CJ24" s="15">
        <v>299</v>
      </c>
      <c r="CK24" s="15" t="s">
        <v>71</v>
      </c>
      <c r="CL24" s="15">
        <v>249</v>
      </c>
      <c r="CM24" s="15" t="s">
        <v>83</v>
      </c>
      <c r="CN24" s="15">
        <v>0</v>
      </c>
      <c r="CO24" s="15" t="s">
        <v>73</v>
      </c>
      <c r="CP24" s="15" t="s">
        <v>108</v>
      </c>
      <c r="CQ24" s="15" t="s">
        <v>70</v>
      </c>
      <c r="CR24" s="15" t="s">
        <v>70</v>
      </c>
      <c r="CS24" s="15" t="s">
        <v>109</v>
      </c>
      <c r="CT24" s="15" t="s">
        <v>70</v>
      </c>
      <c r="CU24" s="15" t="s">
        <v>73</v>
      </c>
      <c r="CV24" s="15" t="s">
        <v>70</v>
      </c>
      <c r="CW24" s="15" t="s">
        <v>68</v>
      </c>
      <c r="CX24" s="15" t="s">
        <v>70</v>
      </c>
      <c r="CY24" s="15">
        <v>0.57793000000000005</v>
      </c>
      <c r="CZ24" s="15">
        <v>0.57633000000000001</v>
      </c>
      <c r="DA24" s="15">
        <v>1.6000000000000001E-3</v>
      </c>
      <c r="DB24" s="15" t="s">
        <v>75</v>
      </c>
      <c r="DC24" s="15">
        <v>467364</v>
      </c>
      <c r="DD24" s="15">
        <v>128</v>
      </c>
      <c r="DE24" s="15">
        <v>200</v>
      </c>
      <c r="DF24" s="15">
        <v>1000000</v>
      </c>
      <c r="DG24" s="15">
        <v>0</v>
      </c>
      <c r="DH24" s="15">
        <v>1.2</v>
      </c>
      <c r="DI24" s="15">
        <v>0.6</v>
      </c>
      <c r="DJ24" s="15">
        <v>0.67</v>
      </c>
      <c r="DK24" s="15">
        <v>21.5</v>
      </c>
      <c r="DL24" s="15">
        <v>21.5</v>
      </c>
      <c r="DM24" s="15">
        <v>54</v>
      </c>
      <c r="DN24" s="15" t="s">
        <v>76</v>
      </c>
    </row>
    <row r="25" spans="1:118">
      <c r="A25" s="25" t="str">
        <f t="shared" si="14"/>
        <v>HVIL001-LAYERP-RT-AL-S10.0-0020</v>
      </c>
      <c r="B25" s="48">
        <v>43944.65625</v>
      </c>
      <c r="C25" s="632"/>
      <c r="D25" s="632"/>
      <c r="E25" s="632"/>
      <c r="F25" s="50">
        <v>20</v>
      </c>
      <c r="G25" s="44" t="s">
        <v>82</v>
      </c>
      <c r="H25" s="37" t="s">
        <v>66</v>
      </c>
      <c r="I25" s="45" t="s">
        <v>87</v>
      </c>
      <c r="J25" s="45" t="s">
        <v>105</v>
      </c>
      <c r="K25" s="39">
        <v>10</v>
      </c>
      <c r="L25" s="39">
        <v>10</v>
      </c>
      <c r="M25" s="39">
        <v>1</v>
      </c>
      <c r="N25" s="31">
        <v>1.419</v>
      </c>
      <c r="O25" s="63">
        <v>3.3860000000000001</v>
      </c>
      <c r="P25" s="37" t="s">
        <v>69</v>
      </c>
      <c r="Q25" s="53" t="s">
        <v>68</v>
      </c>
      <c r="R25" s="53">
        <v>69.806574999999995</v>
      </c>
      <c r="S25" s="457">
        <f t="shared" si="18"/>
        <v>4297.5894462663437</v>
      </c>
      <c r="T25" s="537" t="s">
        <v>68</v>
      </c>
      <c r="U25" s="60">
        <v>1.32</v>
      </c>
      <c r="V25" s="60">
        <v>109.999</v>
      </c>
      <c r="W25" s="60">
        <v>0.02</v>
      </c>
      <c r="X25" s="60">
        <v>366.29300000000001</v>
      </c>
      <c r="Y25" s="31">
        <v>200</v>
      </c>
      <c r="Z25" s="37" t="s">
        <v>71</v>
      </c>
      <c r="AA25" s="31">
        <v>140</v>
      </c>
      <c r="AB25" s="39" t="s">
        <v>83</v>
      </c>
      <c r="AC25" s="41">
        <v>0</v>
      </c>
      <c r="AD25" s="41" t="s">
        <v>76</v>
      </c>
      <c r="AE25" s="40" t="s">
        <v>111</v>
      </c>
      <c r="AF25" s="40" t="s">
        <v>108</v>
      </c>
      <c r="AG25" s="40" t="s">
        <v>100</v>
      </c>
      <c r="AH25" s="40" t="s">
        <v>109</v>
      </c>
      <c r="AI25" s="40" t="s">
        <v>102</v>
      </c>
      <c r="AJ25" s="40" t="s">
        <v>73</v>
      </c>
      <c r="AK25" s="40" t="str">
        <f t="shared" si="17"/>
        <v>N/A</v>
      </c>
      <c r="AL25" s="40" t="s">
        <v>70</v>
      </c>
      <c r="AM25" s="40" t="s">
        <v>112</v>
      </c>
      <c r="AN25" s="291" t="s">
        <v>68</v>
      </c>
      <c r="AO25" s="291" t="s">
        <v>68</v>
      </c>
      <c r="AP25" s="291" t="str">
        <f t="shared" si="8"/>
        <v>N/R</v>
      </c>
      <c r="AQ25" s="40" t="s">
        <v>75</v>
      </c>
      <c r="AR25" s="285">
        <v>219704</v>
      </c>
      <c r="AS25" s="28">
        <v>128</v>
      </c>
      <c r="AT25" s="28">
        <v>200</v>
      </c>
      <c r="AU25" s="34">
        <v>1000000</v>
      </c>
      <c r="AV25" s="278" t="s">
        <v>68</v>
      </c>
      <c r="AW25" s="278" t="s">
        <v>68</v>
      </c>
      <c r="AX25" s="262" t="s">
        <v>68</v>
      </c>
      <c r="AY25" s="281" t="s">
        <v>68</v>
      </c>
      <c r="AZ25" s="61">
        <v>21.2</v>
      </c>
      <c r="BA25" s="271">
        <v>21.2</v>
      </c>
      <c r="BB25" s="31">
        <v>56</v>
      </c>
      <c r="BC25" s="42" t="s">
        <v>76</v>
      </c>
      <c r="BD25" s="29"/>
      <c r="BE25" s="30" t="str">
        <f t="shared" si="9"/>
        <v>AL</v>
      </c>
      <c r="BF25" s="30" t="str">
        <f t="shared" si="10"/>
        <v>LAYERP</v>
      </c>
      <c r="BG25" s="30" t="str">
        <f t="shared" si="11"/>
        <v>P</v>
      </c>
      <c r="BH25" s="30" t="str">
        <f t="shared" si="12"/>
        <v>M</v>
      </c>
      <c r="BI25" s="30" t="str">
        <f t="shared" si="13"/>
        <v>S</v>
      </c>
      <c r="BJ25" s="13"/>
      <c r="BK25" s="49"/>
      <c r="BL25" s="13"/>
      <c r="BM25" s="13" t="s">
        <v>180</v>
      </c>
      <c r="BN25" s="341">
        <v>1.326736988380762</v>
      </c>
      <c r="BO25" s="341">
        <v>1.661768079721778</v>
      </c>
      <c r="BP25" s="341">
        <v>2.0168454371798239</v>
      </c>
      <c r="BQ25" s="13">
        <v>94</v>
      </c>
      <c r="BR25" s="13" t="s">
        <v>158</v>
      </c>
      <c r="BS25" s="13" t="s">
        <v>83</v>
      </c>
      <c r="BT25" s="13" t="s">
        <v>148</v>
      </c>
      <c r="BU25" s="13" t="s">
        <v>149</v>
      </c>
      <c r="BV25" s="15">
        <v>4</v>
      </c>
      <c r="BW25" s="15">
        <v>4</v>
      </c>
      <c r="BX25" s="15">
        <v>1</v>
      </c>
      <c r="CA25" s="15" t="s">
        <v>69</v>
      </c>
      <c r="CB25" s="15" t="s">
        <v>181</v>
      </c>
      <c r="CC25" s="15" t="s">
        <v>181</v>
      </c>
      <c r="CD25" s="15" t="s">
        <v>181</v>
      </c>
      <c r="CE25" s="15" t="s">
        <v>181</v>
      </c>
      <c r="CF25" s="15">
        <v>1.75</v>
      </c>
      <c r="CG25" s="15">
        <v>63.017000000000003</v>
      </c>
      <c r="CH25" s="15">
        <v>0.02</v>
      </c>
      <c r="CI25" s="15">
        <v>362.8</v>
      </c>
      <c r="CJ25" s="15">
        <v>199</v>
      </c>
      <c r="CK25" s="15" t="s">
        <v>71</v>
      </c>
      <c r="CL25" s="15">
        <v>249</v>
      </c>
      <c r="CM25" s="15" t="s">
        <v>72</v>
      </c>
      <c r="CN25" s="15">
        <v>45</v>
      </c>
      <c r="CO25" s="15" t="s">
        <v>73</v>
      </c>
      <c r="CP25" s="15" t="s">
        <v>159</v>
      </c>
      <c r="CQ25" s="15" t="s">
        <v>70</v>
      </c>
      <c r="CR25" s="15" t="s">
        <v>70</v>
      </c>
      <c r="CT25" s="15" t="s">
        <v>70</v>
      </c>
      <c r="CU25" s="15" t="s">
        <v>73</v>
      </c>
      <c r="CV25" s="15" t="s">
        <v>70</v>
      </c>
      <c r="CW25" s="15" t="s">
        <v>68</v>
      </c>
      <c r="CX25" s="15" t="s">
        <v>70</v>
      </c>
      <c r="CY25" s="15" t="s">
        <v>181</v>
      </c>
      <c r="CZ25" s="15" t="s">
        <v>181</v>
      </c>
      <c r="DA25" s="15" t="s">
        <v>181</v>
      </c>
      <c r="DB25" s="15" t="s">
        <v>75</v>
      </c>
      <c r="DC25" s="15">
        <v>428212</v>
      </c>
      <c r="DD25" s="15">
        <v>128</v>
      </c>
      <c r="DE25" s="15">
        <v>200</v>
      </c>
      <c r="DF25" s="15">
        <v>1000000</v>
      </c>
      <c r="DG25" s="15">
        <v>6</v>
      </c>
      <c r="DH25" s="15">
        <v>5.6</v>
      </c>
      <c r="DI25" s="15">
        <v>1.1000000000000001</v>
      </c>
      <c r="DJ25" s="15">
        <v>0.34</v>
      </c>
      <c r="DK25" s="15">
        <v>21.1</v>
      </c>
      <c r="DL25" s="15">
        <v>21.1</v>
      </c>
      <c r="DM25" s="15">
        <v>44</v>
      </c>
      <c r="DN25" s="15" t="s">
        <v>76</v>
      </c>
    </row>
    <row r="26" spans="1:118">
      <c r="A26" s="25" t="str">
        <f t="shared" si="14"/>
        <v>HVIL001-HDPE-RT-AL-S10.0-0021</v>
      </c>
      <c r="B26" s="48">
        <v>43945.520833333336</v>
      </c>
      <c r="C26" s="632"/>
      <c r="D26" s="632"/>
      <c r="E26" s="632"/>
      <c r="F26" s="50">
        <v>21</v>
      </c>
      <c r="G26" s="44" t="s">
        <v>82</v>
      </c>
      <c r="H26" s="37" t="s">
        <v>66</v>
      </c>
      <c r="I26" s="45" t="s">
        <v>87</v>
      </c>
      <c r="J26" s="45" t="s">
        <v>105</v>
      </c>
      <c r="K26" s="39">
        <v>10</v>
      </c>
      <c r="L26" s="39">
        <v>10</v>
      </c>
      <c r="M26" s="39">
        <v>1</v>
      </c>
      <c r="N26" s="31">
        <v>1.415</v>
      </c>
      <c r="O26" s="63">
        <f>3.403-0.015</f>
        <v>3.3879999999999999</v>
      </c>
      <c r="P26" s="37" t="s">
        <v>69</v>
      </c>
      <c r="Q26" s="53" t="s">
        <v>68</v>
      </c>
      <c r="R26" s="53">
        <v>54.589996999999997</v>
      </c>
      <c r="S26" s="457">
        <f t="shared" si="18"/>
        <v>5495.5123005410678</v>
      </c>
      <c r="T26" s="537" t="s">
        <v>68</v>
      </c>
      <c r="U26" s="60">
        <v>1.329</v>
      </c>
      <c r="V26" s="60">
        <v>110.10299999999999</v>
      </c>
      <c r="W26" s="60">
        <v>0.02</v>
      </c>
      <c r="X26" s="60">
        <v>363.34500000000003</v>
      </c>
      <c r="Y26" s="31">
        <v>175</v>
      </c>
      <c r="Z26" s="37" t="s">
        <v>71</v>
      </c>
      <c r="AA26" s="31">
        <v>140</v>
      </c>
      <c r="AB26" s="39" t="s">
        <v>83</v>
      </c>
      <c r="AC26" s="41">
        <v>0</v>
      </c>
      <c r="AD26" s="41" t="s">
        <v>73</v>
      </c>
      <c r="AE26" s="40" t="s">
        <v>100</v>
      </c>
      <c r="AF26" s="40" t="str">
        <f t="shared" si="6"/>
        <v>N/A</v>
      </c>
      <c r="AG26" s="40" t="str">
        <f t="shared" si="6"/>
        <v>N/A</v>
      </c>
      <c r="AH26" s="40" t="s">
        <v>102</v>
      </c>
      <c r="AI26" s="40" t="str">
        <f t="shared" si="7"/>
        <v>N/A</v>
      </c>
      <c r="AJ26" s="40" t="s">
        <v>73</v>
      </c>
      <c r="AK26" s="40" t="str">
        <f t="shared" si="17"/>
        <v>N/A</v>
      </c>
      <c r="AL26" s="40" t="s">
        <v>70</v>
      </c>
      <c r="AM26" s="40" t="str">
        <f t="shared" si="17"/>
        <v>N/A</v>
      </c>
      <c r="AN26" s="291">
        <v>0.55610000000000004</v>
      </c>
      <c r="AO26" s="291">
        <v>0.55349999999999999</v>
      </c>
      <c r="AP26" s="291">
        <f t="shared" si="8"/>
        <v>2.6000000000000467E-3</v>
      </c>
      <c r="AQ26" s="40" t="s">
        <v>75</v>
      </c>
      <c r="AR26" s="285">
        <v>184616</v>
      </c>
      <c r="AS26" s="28">
        <v>256</v>
      </c>
      <c r="AT26" s="28">
        <v>200</v>
      </c>
      <c r="AU26" s="34">
        <v>2000000</v>
      </c>
      <c r="AV26" s="278" t="s">
        <v>68</v>
      </c>
      <c r="AW26" s="278" t="s">
        <v>68</v>
      </c>
      <c r="AX26" s="262" t="s">
        <v>68</v>
      </c>
      <c r="AY26" s="281" t="s">
        <v>68</v>
      </c>
      <c r="AZ26" s="61">
        <v>21.4</v>
      </c>
      <c r="BA26" s="271">
        <v>21.4</v>
      </c>
      <c r="BB26" s="31">
        <v>57</v>
      </c>
      <c r="BC26" s="42" t="s">
        <v>73</v>
      </c>
      <c r="BD26" s="29"/>
      <c r="BE26" s="30" t="str">
        <f t="shared" si="9"/>
        <v>AL</v>
      </c>
      <c r="BF26" s="30" t="str">
        <f t="shared" si="10"/>
        <v>HDPE</v>
      </c>
      <c r="BG26" s="30" t="str">
        <f t="shared" si="11"/>
        <v>P</v>
      </c>
      <c r="BH26" s="30" t="str">
        <f t="shared" si="12"/>
        <v>M</v>
      </c>
      <c r="BI26" s="30" t="str">
        <f t="shared" si="13"/>
        <v>S</v>
      </c>
      <c r="BJ26" s="13"/>
      <c r="BK26" s="49" t="s">
        <v>113</v>
      </c>
      <c r="BL26" s="13"/>
      <c r="BM26" s="13"/>
      <c r="BN26" s="13"/>
      <c r="BO26" s="13"/>
      <c r="BP26" s="13"/>
      <c r="BQ26" s="13"/>
      <c r="BR26" s="13"/>
      <c r="BS26" s="13"/>
      <c r="BT26" s="13"/>
      <c r="BU26" s="13"/>
    </row>
    <row r="27" spans="1:118">
      <c r="A27" s="25" t="str">
        <f t="shared" si="14"/>
        <v>HVIL001-HDPE-RT-PC-C12.7-0022</v>
      </c>
      <c r="B27" s="48">
        <v>43945.614583333336</v>
      </c>
      <c r="C27" s="632"/>
      <c r="D27" s="632"/>
      <c r="E27" s="632"/>
      <c r="F27" s="51">
        <v>22</v>
      </c>
      <c r="G27" s="44" t="s">
        <v>82</v>
      </c>
      <c r="H27" s="37" t="s">
        <v>83</v>
      </c>
      <c r="I27" s="45" t="s">
        <v>84</v>
      </c>
      <c r="J27" s="45" t="s">
        <v>104</v>
      </c>
      <c r="K27" s="39">
        <v>12.7</v>
      </c>
      <c r="L27" s="39" t="s">
        <v>70</v>
      </c>
      <c r="M27" s="39">
        <v>1.1599999999999999</v>
      </c>
      <c r="N27" s="31">
        <v>2.1869999999999998</v>
      </c>
      <c r="O27" s="63">
        <v>2.1869999999999998</v>
      </c>
      <c r="P27" s="37" t="s">
        <v>86</v>
      </c>
      <c r="Q27" s="53" t="s">
        <v>68</v>
      </c>
      <c r="R27" s="53">
        <v>45.020130999999999</v>
      </c>
      <c r="S27" s="457">
        <f t="shared" si="18"/>
        <v>6663.6856298796647</v>
      </c>
      <c r="T27" s="537" t="s">
        <v>68</v>
      </c>
      <c r="U27" s="60">
        <v>1.3009999999999999</v>
      </c>
      <c r="V27" s="60">
        <v>110.06399999999999</v>
      </c>
      <c r="W27" s="60">
        <v>0.02</v>
      </c>
      <c r="X27" s="60">
        <v>365.33300000000003</v>
      </c>
      <c r="Y27" s="31">
        <v>1</v>
      </c>
      <c r="Z27" s="37" t="s">
        <v>71</v>
      </c>
      <c r="AA27" s="31">
        <v>140</v>
      </c>
      <c r="AB27" s="39" t="s">
        <v>83</v>
      </c>
      <c r="AC27" s="41">
        <v>0</v>
      </c>
      <c r="AD27" s="41" t="s">
        <v>73</v>
      </c>
      <c r="AE27" s="40" t="s">
        <v>100</v>
      </c>
      <c r="AF27" s="40" t="str">
        <f t="shared" si="6"/>
        <v>N/A</v>
      </c>
      <c r="AG27" s="40" t="str">
        <f t="shared" si="6"/>
        <v>N/A</v>
      </c>
      <c r="AH27" s="40" t="s">
        <v>102</v>
      </c>
      <c r="AI27" s="40" t="str">
        <f t="shared" si="7"/>
        <v>N/A</v>
      </c>
      <c r="AJ27" s="40" t="s">
        <v>73</v>
      </c>
      <c r="AK27" s="40" t="str">
        <f t="shared" si="17"/>
        <v>N/A</v>
      </c>
      <c r="AL27" s="40" t="s">
        <v>70</v>
      </c>
      <c r="AM27" s="40" t="str">
        <f t="shared" si="17"/>
        <v>N/A</v>
      </c>
      <c r="AN27" s="291">
        <v>0.55642999999999998</v>
      </c>
      <c r="AO27" s="291">
        <v>0.5524</v>
      </c>
      <c r="AP27" s="291">
        <f t="shared" si="8"/>
        <v>4.029999999999978E-3</v>
      </c>
      <c r="AQ27" s="40" t="s">
        <v>75</v>
      </c>
      <c r="AR27" s="285">
        <v>152297</v>
      </c>
      <c r="AS27" s="28">
        <v>256</v>
      </c>
      <c r="AT27" s="28">
        <v>200</v>
      </c>
      <c r="AU27" s="34">
        <v>2000000</v>
      </c>
      <c r="AV27" s="278" t="s">
        <v>68</v>
      </c>
      <c r="AW27" s="278" t="s">
        <v>68</v>
      </c>
      <c r="AX27" s="262" t="s">
        <v>68</v>
      </c>
      <c r="AY27" s="281" t="s">
        <v>68</v>
      </c>
      <c r="AZ27" s="61">
        <v>21.4</v>
      </c>
      <c r="BA27" s="271">
        <v>21.4</v>
      </c>
      <c r="BB27" s="31">
        <v>57</v>
      </c>
      <c r="BC27" s="42" t="s">
        <v>76</v>
      </c>
      <c r="BD27" s="29"/>
      <c r="BE27" s="30" t="str">
        <f t="shared" si="9"/>
        <v>PC</v>
      </c>
      <c r="BF27" s="30" t="str">
        <f t="shared" si="10"/>
        <v>HDPE</v>
      </c>
      <c r="BG27" s="30" t="str">
        <f t="shared" si="11"/>
        <v>P</v>
      </c>
      <c r="BH27" s="30" t="str">
        <f t="shared" si="12"/>
        <v>P</v>
      </c>
      <c r="BI27" s="30" t="str">
        <f t="shared" si="13"/>
        <v>C</v>
      </c>
      <c r="BJ27" s="13"/>
      <c r="BK27" s="49" t="s">
        <v>114</v>
      </c>
      <c r="BL27" s="13"/>
      <c r="BM27" s="13"/>
      <c r="BN27" s="13"/>
      <c r="BO27" s="13"/>
      <c r="BP27" s="13"/>
      <c r="BQ27" s="13"/>
      <c r="BR27" s="13"/>
      <c r="BS27" s="13"/>
      <c r="BT27" s="13"/>
      <c r="BU27" s="13"/>
    </row>
    <row r="28" spans="1:118">
      <c r="A28" s="25" t="str">
        <f t="shared" si="14"/>
        <v>HVIL001-HDPE-RT-AL-S10.0-0023</v>
      </c>
      <c r="B28" s="48">
        <v>43948.645833333336</v>
      </c>
      <c r="C28" s="632"/>
      <c r="D28" s="632"/>
      <c r="E28" s="632"/>
      <c r="F28" s="50">
        <v>23</v>
      </c>
      <c r="G28" s="44" t="s">
        <v>82</v>
      </c>
      <c r="H28" s="37" t="s">
        <v>66</v>
      </c>
      <c r="I28" s="45" t="s">
        <v>87</v>
      </c>
      <c r="J28" s="45" t="s">
        <v>105</v>
      </c>
      <c r="K28" s="39">
        <v>10</v>
      </c>
      <c r="L28" s="39">
        <v>10</v>
      </c>
      <c r="M28" s="39">
        <v>1</v>
      </c>
      <c r="N28" s="31">
        <v>1.401</v>
      </c>
      <c r="O28" s="63">
        <v>3.39</v>
      </c>
      <c r="P28" s="37" t="s">
        <v>69</v>
      </c>
      <c r="Q28" s="53" t="s">
        <v>68</v>
      </c>
      <c r="R28" s="53">
        <v>57.366557</v>
      </c>
      <c r="S28" s="457">
        <f t="shared" si="18"/>
        <v>5229.5277194341643</v>
      </c>
      <c r="T28" s="537" t="s">
        <v>68</v>
      </c>
      <c r="U28" s="60">
        <v>1.3</v>
      </c>
      <c r="V28" s="60">
        <v>110.001</v>
      </c>
      <c r="W28" s="60">
        <v>0.02</v>
      </c>
      <c r="X28" s="60">
        <v>363.64499999999998</v>
      </c>
      <c r="Y28" s="31">
        <v>200</v>
      </c>
      <c r="Z28" s="37" t="s">
        <v>71</v>
      </c>
      <c r="AA28" s="31">
        <v>140</v>
      </c>
      <c r="AB28" s="39" t="s">
        <v>83</v>
      </c>
      <c r="AC28" s="41">
        <v>60</v>
      </c>
      <c r="AD28" s="41" t="s">
        <v>73</v>
      </c>
      <c r="AE28" s="40" t="s">
        <v>100</v>
      </c>
      <c r="AF28" s="40" t="str">
        <f t="shared" si="6"/>
        <v>N/A</v>
      </c>
      <c r="AG28" s="40" t="str">
        <f t="shared" si="6"/>
        <v>N/A</v>
      </c>
      <c r="AH28" s="40" t="s">
        <v>102</v>
      </c>
      <c r="AI28" s="40" t="str">
        <f t="shared" si="7"/>
        <v>N/A</v>
      </c>
      <c r="AJ28" s="40" t="s">
        <v>73</v>
      </c>
      <c r="AK28" s="40" t="str">
        <f t="shared" si="17"/>
        <v>N/A</v>
      </c>
      <c r="AL28" s="40" t="s">
        <v>70</v>
      </c>
      <c r="AM28" s="40" t="str">
        <f t="shared" si="17"/>
        <v>N/A</v>
      </c>
      <c r="AN28" s="291">
        <v>0.56767000000000001</v>
      </c>
      <c r="AO28" s="291">
        <v>0.56296999999999997</v>
      </c>
      <c r="AP28" s="291">
        <f t="shared" si="8"/>
        <v>4.7000000000000375E-3</v>
      </c>
      <c r="AQ28" s="40" t="s">
        <v>75</v>
      </c>
      <c r="AR28" s="285">
        <v>200611</v>
      </c>
      <c r="AS28" s="28">
        <v>256</v>
      </c>
      <c r="AT28" s="28">
        <v>200</v>
      </c>
      <c r="AU28" s="34">
        <v>1000000</v>
      </c>
      <c r="AV28" s="278" t="s">
        <v>68</v>
      </c>
      <c r="AW28" s="278" t="s">
        <v>68</v>
      </c>
      <c r="AX28" s="262" t="s">
        <v>68</v>
      </c>
      <c r="AY28" s="281" t="s">
        <v>68</v>
      </c>
      <c r="AZ28" s="61">
        <v>21.4</v>
      </c>
      <c r="BA28" s="271">
        <v>21.4</v>
      </c>
      <c r="BB28" s="31">
        <v>57</v>
      </c>
      <c r="BC28" s="42" t="s">
        <v>76</v>
      </c>
      <c r="BD28" s="29"/>
      <c r="BE28" s="30" t="str">
        <f t="shared" si="9"/>
        <v>AL</v>
      </c>
      <c r="BF28" s="30" t="str">
        <f t="shared" si="10"/>
        <v>HDPE</v>
      </c>
      <c r="BG28" s="30" t="str">
        <f t="shared" si="11"/>
        <v>P</v>
      </c>
      <c r="BH28" s="30" t="str">
        <f t="shared" si="12"/>
        <v>M</v>
      </c>
      <c r="BI28" s="30" t="str">
        <f t="shared" si="13"/>
        <v>S</v>
      </c>
      <c r="BJ28" s="13"/>
      <c r="BK28" s="49" t="s">
        <v>115</v>
      </c>
      <c r="BL28" s="13"/>
      <c r="BM28" s="13"/>
      <c r="BN28" s="13"/>
      <c r="BO28" s="13"/>
      <c r="BP28" s="13"/>
      <c r="BQ28" s="13"/>
      <c r="BR28" s="13"/>
      <c r="BS28" s="13"/>
      <c r="BT28" s="13"/>
      <c r="BU28" s="13"/>
    </row>
    <row r="29" spans="1:118">
      <c r="A29" s="25" t="str">
        <f t="shared" si="14"/>
        <v>HVIL001-HDPE-RT-AL-S10.0-0024</v>
      </c>
      <c r="B29" s="48">
        <v>43949.5625</v>
      </c>
      <c r="C29" s="632"/>
      <c r="D29" s="632"/>
      <c r="E29" s="632"/>
      <c r="F29" s="50">
        <v>24</v>
      </c>
      <c r="G29" s="44" t="s">
        <v>82</v>
      </c>
      <c r="H29" s="37" t="s">
        <v>66</v>
      </c>
      <c r="I29" s="45" t="s">
        <v>87</v>
      </c>
      <c r="J29" s="45" t="s">
        <v>105</v>
      </c>
      <c r="K29" s="39">
        <v>10</v>
      </c>
      <c r="L29" s="39">
        <v>10</v>
      </c>
      <c r="M29" s="39">
        <v>1</v>
      </c>
      <c r="N29" s="31">
        <v>1.419</v>
      </c>
      <c r="O29" s="63">
        <f>3.401-0.018</f>
        <v>3.383</v>
      </c>
      <c r="P29" s="37" t="s">
        <v>69</v>
      </c>
      <c r="Q29" s="53" t="s">
        <v>68</v>
      </c>
      <c r="R29" s="53">
        <v>56.153911000000001</v>
      </c>
      <c r="S29" s="457">
        <f t="shared" si="18"/>
        <v>5342.4595839816038</v>
      </c>
      <c r="T29" s="537" t="s">
        <v>68</v>
      </c>
      <c r="U29" s="60">
        <v>1.3</v>
      </c>
      <c r="V29" s="60">
        <v>109.99</v>
      </c>
      <c r="W29" s="60">
        <v>0.02</v>
      </c>
      <c r="X29" s="60">
        <v>364.80399999999997</v>
      </c>
      <c r="Y29" s="31">
        <v>199</v>
      </c>
      <c r="Z29" s="37" t="s">
        <v>71</v>
      </c>
      <c r="AA29" s="31">
        <v>140</v>
      </c>
      <c r="AB29" s="39" t="s">
        <v>83</v>
      </c>
      <c r="AC29" s="41">
        <v>60</v>
      </c>
      <c r="AD29" s="41" t="s">
        <v>73</v>
      </c>
      <c r="AE29" s="40" t="s">
        <v>100</v>
      </c>
      <c r="AF29" s="40" t="str">
        <f t="shared" si="6"/>
        <v>N/A</v>
      </c>
      <c r="AG29" s="40" t="str">
        <f t="shared" si="6"/>
        <v>N/A</v>
      </c>
      <c r="AH29" s="40" t="s">
        <v>102</v>
      </c>
      <c r="AI29" s="40" t="str">
        <f t="shared" si="7"/>
        <v>N/A</v>
      </c>
      <c r="AJ29" s="40" t="s">
        <v>73</v>
      </c>
      <c r="AK29" s="40" t="str">
        <f t="shared" si="17"/>
        <v>N/A</v>
      </c>
      <c r="AL29" s="40" t="s">
        <v>70</v>
      </c>
      <c r="AM29" s="40" t="str">
        <f t="shared" si="17"/>
        <v>N/A</v>
      </c>
      <c r="AN29" s="291">
        <v>0.55403000000000002</v>
      </c>
      <c r="AO29" s="291">
        <v>0.54949999999999999</v>
      </c>
      <c r="AP29" s="291">
        <f t="shared" si="8"/>
        <v>4.530000000000034E-3</v>
      </c>
      <c r="AQ29" s="40" t="s">
        <v>75</v>
      </c>
      <c r="AR29" s="285">
        <v>196307</v>
      </c>
      <c r="AS29" s="28">
        <v>256</v>
      </c>
      <c r="AT29" s="28">
        <v>200</v>
      </c>
      <c r="AU29" s="34">
        <v>2000000</v>
      </c>
      <c r="AV29" s="278">
        <v>5</v>
      </c>
      <c r="AW29" s="278">
        <v>4</v>
      </c>
      <c r="AX29" s="281">
        <v>1.2</v>
      </c>
      <c r="AY29" s="281">
        <v>0.32</v>
      </c>
      <c r="AZ29" s="61">
        <v>21</v>
      </c>
      <c r="BA29" s="271">
        <v>21</v>
      </c>
      <c r="BB29" s="31">
        <v>57</v>
      </c>
      <c r="BC29" s="42" t="s">
        <v>76</v>
      </c>
      <c r="BD29" s="29"/>
      <c r="BE29" s="30" t="str">
        <f t="shared" si="9"/>
        <v>AL</v>
      </c>
      <c r="BF29" s="30" t="str">
        <f t="shared" si="10"/>
        <v>HDPE</v>
      </c>
      <c r="BG29" s="30" t="str">
        <f t="shared" si="11"/>
        <v>P</v>
      </c>
      <c r="BH29" s="30" t="str">
        <f t="shared" si="12"/>
        <v>M</v>
      </c>
      <c r="BI29" s="30" t="str">
        <f t="shared" si="13"/>
        <v>S</v>
      </c>
      <c r="BJ29" s="13"/>
      <c r="BK29" s="49" t="s">
        <v>116</v>
      </c>
      <c r="BL29" s="13"/>
      <c r="BM29" s="13"/>
      <c r="BN29" s="13"/>
      <c r="BO29" s="13"/>
      <c r="BP29" s="13"/>
      <c r="BQ29" s="13"/>
      <c r="BR29" s="13"/>
      <c r="BS29" s="13"/>
      <c r="BT29" s="13"/>
      <c r="BU29" s="13"/>
    </row>
    <row r="30" spans="1:118">
      <c r="A30" s="25" t="str">
        <f t="shared" si="14"/>
        <v>HVIL001-HDPE-RT-AL-S10.0-0025</v>
      </c>
      <c r="B30" s="48">
        <v>43955.5625</v>
      </c>
      <c r="C30" s="632"/>
      <c r="D30" s="632"/>
      <c r="E30" s="632"/>
      <c r="F30" s="51">
        <v>25</v>
      </c>
      <c r="G30" s="44" t="s">
        <v>82</v>
      </c>
      <c r="H30" s="37" t="s">
        <v>66</v>
      </c>
      <c r="I30" s="45" t="s">
        <v>87</v>
      </c>
      <c r="J30" s="45" t="s">
        <v>105</v>
      </c>
      <c r="K30" s="39">
        <v>10</v>
      </c>
      <c r="L30" s="39">
        <v>10</v>
      </c>
      <c r="M30" s="39">
        <v>1</v>
      </c>
      <c r="N30" s="31">
        <v>1.423</v>
      </c>
      <c r="O30" s="63">
        <f>3.411-0.017</f>
        <v>3.3940000000000001</v>
      </c>
      <c r="P30" s="37" t="s">
        <v>69</v>
      </c>
      <c r="Q30" s="53" t="s">
        <v>68</v>
      </c>
      <c r="R30" s="53">
        <v>67.564284000000001</v>
      </c>
      <c r="S30" s="457">
        <f t="shared" si="18"/>
        <v>4440.2157802782313</v>
      </c>
      <c r="T30" s="537" t="s">
        <v>68</v>
      </c>
      <c r="U30" s="60">
        <v>1.3009999999999999</v>
      </c>
      <c r="V30" s="60">
        <v>110.004</v>
      </c>
      <c r="W30" s="60">
        <v>0.02</v>
      </c>
      <c r="X30" s="60">
        <v>365.3</v>
      </c>
      <c r="Y30" s="31">
        <v>200</v>
      </c>
      <c r="Z30" s="37" t="s">
        <v>71</v>
      </c>
      <c r="AA30" s="31">
        <v>140</v>
      </c>
      <c r="AB30" s="39" t="s">
        <v>83</v>
      </c>
      <c r="AC30" s="41">
        <v>30</v>
      </c>
      <c r="AD30" s="41" t="s">
        <v>73</v>
      </c>
      <c r="AE30" s="40" t="s">
        <v>100</v>
      </c>
      <c r="AF30" s="40" t="str">
        <f t="shared" si="6"/>
        <v>N/A</v>
      </c>
      <c r="AG30" s="40" t="str">
        <f t="shared" si="6"/>
        <v>N/A</v>
      </c>
      <c r="AH30" s="40" t="s">
        <v>102</v>
      </c>
      <c r="AI30" s="40" t="str">
        <f t="shared" si="7"/>
        <v>N/A</v>
      </c>
      <c r="AJ30" s="40" t="s">
        <v>73</v>
      </c>
      <c r="AK30" s="40" t="str">
        <f t="shared" si="17"/>
        <v>N/A</v>
      </c>
      <c r="AL30" s="40" t="s">
        <v>70</v>
      </c>
      <c r="AM30" s="40" t="str">
        <f t="shared" si="17"/>
        <v>N/A</v>
      </c>
      <c r="AN30" s="291">
        <v>0.54884999999999995</v>
      </c>
      <c r="AO30" s="291">
        <v>0.54662999999999995</v>
      </c>
      <c r="AP30" s="291">
        <f t="shared" si="8"/>
        <v>2.2199999999999998E-3</v>
      </c>
      <c r="AQ30" s="40" t="s">
        <v>75</v>
      </c>
      <c r="AR30" s="285">
        <v>236180</v>
      </c>
      <c r="AS30" s="28">
        <v>256</v>
      </c>
      <c r="AT30" s="28">
        <v>200</v>
      </c>
      <c r="AU30" s="34">
        <v>2000000</v>
      </c>
      <c r="AV30" s="278">
        <v>5</v>
      </c>
      <c r="AW30" s="278" t="s">
        <v>117</v>
      </c>
      <c r="AX30" s="281">
        <v>1.1000000000000001</v>
      </c>
      <c r="AY30" s="281">
        <v>0.32</v>
      </c>
      <c r="AZ30" s="61">
        <v>21.9</v>
      </c>
      <c r="BA30" s="271">
        <v>21.9</v>
      </c>
      <c r="BB30" s="31">
        <v>57</v>
      </c>
      <c r="BC30" s="42" t="s">
        <v>76</v>
      </c>
      <c r="BD30" s="29"/>
      <c r="BE30" s="30" t="str">
        <f t="shared" si="9"/>
        <v>AL</v>
      </c>
      <c r="BF30" s="30" t="str">
        <f t="shared" si="10"/>
        <v>HDPE</v>
      </c>
      <c r="BG30" s="30" t="str">
        <f t="shared" si="11"/>
        <v>P</v>
      </c>
      <c r="BH30" s="30" t="str">
        <f t="shared" si="12"/>
        <v>M</v>
      </c>
      <c r="BI30" s="30" t="str">
        <f t="shared" si="13"/>
        <v>S</v>
      </c>
      <c r="BJ30" s="13"/>
      <c r="BK30" s="49" t="s">
        <v>118</v>
      </c>
      <c r="BL30" s="13"/>
      <c r="BM30" s="13"/>
      <c r="BN30" s="13"/>
      <c r="BO30" s="13"/>
      <c r="BP30" s="13"/>
      <c r="BQ30" s="13"/>
      <c r="BR30" s="13"/>
      <c r="BS30" s="13"/>
      <c r="BT30" s="13"/>
      <c r="BU30" s="13"/>
    </row>
    <row r="31" spans="1:118">
      <c r="A31" s="25" t="str">
        <f t="shared" si="14"/>
        <v>HVIL001-UHMWPE-RT-RN-C12.7-0026</v>
      </c>
      <c r="B31" s="48">
        <v>43964.541666666664</v>
      </c>
      <c r="C31" s="632"/>
      <c r="D31" s="632"/>
      <c r="E31" s="632"/>
      <c r="F31" s="50">
        <v>26</v>
      </c>
      <c r="G31" s="44" t="s">
        <v>82</v>
      </c>
      <c r="H31" s="37" t="s">
        <v>83</v>
      </c>
      <c r="I31" s="37" t="s">
        <v>91</v>
      </c>
      <c r="J31" s="37"/>
      <c r="K31" s="39">
        <v>12.7</v>
      </c>
      <c r="L31" s="39" t="s">
        <v>70</v>
      </c>
      <c r="M31" s="39">
        <v>1.66</v>
      </c>
      <c r="N31" s="31">
        <v>2.718</v>
      </c>
      <c r="O31" s="63">
        <v>2.718</v>
      </c>
      <c r="P31" s="37" t="s">
        <v>86</v>
      </c>
      <c r="Q31" s="53" t="s">
        <v>68</v>
      </c>
      <c r="R31" s="53" t="s">
        <v>68</v>
      </c>
      <c r="S31" s="457" t="s">
        <v>68</v>
      </c>
      <c r="T31" s="537" t="s">
        <v>68</v>
      </c>
      <c r="U31" s="60">
        <v>1.4490000000000001</v>
      </c>
      <c r="V31" s="60">
        <v>105.348</v>
      </c>
      <c r="W31" s="60">
        <v>0.02</v>
      </c>
      <c r="X31" s="60">
        <v>364.358</v>
      </c>
      <c r="Y31" s="31">
        <v>1</v>
      </c>
      <c r="Z31" s="37" t="s">
        <v>71</v>
      </c>
      <c r="AA31" s="31">
        <v>140</v>
      </c>
      <c r="AB31" s="39" t="s">
        <v>83</v>
      </c>
      <c r="AC31" s="41">
        <v>0</v>
      </c>
      <c r="AD31" s="41" t="s">
        <v>73</v>
      </c>
      <c r="AE31" s="40" t="s">
        <v>108</v>
      </c>
      <c r="AF31" s="40" t="str">
        <f t="shared" si="6"/>
        <v>N/A</v>
      </c>
      <c r="AG31" s="40" t="str">
        <f t="shared" si="6"/>
        <v>N/A</v>
      </c>
      <c r="AH31" s="40" t="s">
        <v>102</v>
      </c>
      <c r="AI31" s="40" t="str">
        <f t="shared" si="7"/>
        <v>N/A</v>
      </c>
      <c r="AJ31" s="40" t="s">
        <v>73</v>
      </c>
      <c r="AK31" s="40" t="str">
        <f t="shared" si="17"/>
        <v>N/A</v>
      </c>
      <c r="AL31" s="40" t="s">
        <v>70</v>
      </c>
      <c r="AM31" s="40" t="str">
        <f t="shared" si="17"/>
        <v>N/A</v>
      </c>
      <c r="AN31" s="291">
        <v>0.59592000000000001</v>
      </c>
      <c r="AO31" s="291" t="s">
        <v>68</v>
      </c>
      <c r="AP31" s="291" t="s">
        <v>68</v>
      </c>
      <c r="AQ31" s="40" t="s">
        <v>75</v>
      </c>
      <c r="AR31" s="285" t="s">
        <v>68</v>
      </c>
      <c r="AS31" s="28">
        <v>128</v>
      </c>
      <c r="AT31" s="28">
        <v>200</v>
      </c>
      <c r="AU31" s="34">
        <v>1000000</v>
      </c>
      <c r="AV31" s="278">
        <v>5</v>
      </c>
      <c r="AW31" s="278" t="s">
        <v>117</v>
      </c>
      <c r="AX31" s="281">
        <v>1.1000000000000001</v>
      </c>
      <c r="AY31" s="281">
        <v>0.32</v>
      </c>
      <c r="AZ31" s="61">
        <v>21.4</v>
      </c>
      <c r="BA31" s="271">
        <v>21.4</v>
      </c>
      <c r="BB31" s="31">
        <v>56</v>
      </c>
      <c r="BC31" s="42" t="s">
        <v>73</v>
      </c>
      <c r="BD31" s="29"/>
      <c r="BE31" s="30" t="str">
        <f t="shared" si="9"/>
        <v>RN</v>
      </c>
      <c r="BF31" s="30" t="str">
        <f t="shared" si="10"/>
        <v>UHMWPE</v>
      </c>
      <c r="BG31" s="30" t="str">
        <f t="shared" si="11"/>
        <v>P</v>
      </c>
      <c r="BH31" s="30" t="str">
        <f t="shared" si="12"/>
        <v>P</v>
      </c>
      <c r="BI31" s="30" t="str">
        <f t="shared" si="13"/>
        <v>C</v>
      </c>
      <c r="BJ31" s="13"/>
      <c r="BK31" s="49" t="s">
        <v>119</v>
      </c>
      <c r="BL31" s="13"/>
      <c r="BM31" s="13"/>
      <c r="BN31" s="13"/>
      <c r="BO31" s="13"/>
      <c r="BP31" s="13"/>
      <c r="BQ31" s="13"/>
      <c r="BR31" s="13"/>
      <c r="BS31" s="13"/>
      <c r="BT31" s="13"/>
      <c r="BU31" s="13"/>
    </row>
    <row r="32" spans="1:118">
      <c r="A32" s="25" t="str">
        <f t="shared" si="14"/>
        <v>HVIL001-UHMWPE-RT-ST-S10.0-0027</v>
      </c>
      <c r="B32" s="48">
        <v>43964.604166666664</v>
      </c>
      <c r="C32" s="632"/>
      <c r="D32" s="632"/>
      <c r="E32" s="632"/>
      <c r="F32" s="50">
        <v>27</v>
      </c>
      <c r="G32" s="44" t="s">
        <v>82</v>
      </c>
      <c r="H32" s="37" t="s">
        <v>66</v>
      </c>
      <c r="I32" s="37" t="s">
        <v>120</v>
      </c>
      <c r="J32" s="37" t="s">
        <v>121</v>
      </c>
      <c r="K32" s="39">
        <v>10</v>
      </c>
      <c r="L32" s="39">
        <v>10</v>
      </c>
      <c r="M32" s="39">
        <v>1</v>
      </c>
      <c r="N32" s="31">
        <v>4.101</v>
      </c>
      <c r="O32" s="63">
        <v>6.0830000000000002</v>
      </c>
      <c r="P32" s="37" t="s">
        <v>69</v>
      </c>
      <c r="Q32" s="53" t="s">
        <v>68</v>
      </c>
      <c r="R32" s="53">
        <v>72.030315000000002</v>
      </c>
      <c r="S32" s="457">
        <f t="shared" si="18"/>
        <v>4164.9130647283719</v>
      </c>
      <c r="T32" s="537" t="s">
        <v>68</v>
      </c>
      <c r="U32" s="60">
        <v>1.42</v>
      </c>
      <c r="V32" s="60">
        <v>100.19499999999999</v>
      </c>
      <c r="W32" s="60">
        <v>0.02</v>
      </c>
      <c r="X32" s="60">
        <v>364.358</v>
      </c>
      <c r="Y32" s="31">
        <v>200</v>
      </c>
      <c r="Z32" s="37" t="s">
        <v>71</v>
      </c>
      <c r="AA32" s="31">
        <v>140</v>
      </c>
      <c r="AB32" s="39" t="s">
        <v>83</v>
      </c>
      <c r="AC32" s="41">
        <v>0</v>
      </c>
      <c r="AD32" s="41" t="s">
        <v>73</v>
      </c>
      <c r="AE32" s="41" t="s">
        <v>108</v>
      </c>
      <c r="AF32" s="40" t="str">
        <f t="shared" si="6"/>
        <v>N/A</v>
      </c>
      <c r="AG32" s="40" t="str">
        <f t="shared" si="6"/>
        <v>N/A</v>
      </c>
      <c r="AH32" s="41" t="s">
        <v>109</v>
      </c>
      <c r="AI32" s="40" t="str">
        <f t="shared" si="7"/>
        <v>N/A</v>
      </c>
      <c r="AJ32" s="40" t="s">
        <v>73</v>
      </c>
      <c r="AK32" s="40" t="str">
        <f t="shared" si="17"/>
        <v>N/A</v>
      </c>
      <c r="AL32" s="40" t="s">
        <v>70</v>
      </c>
      <c r="AM32" s="40" t="str">
        <f t="shared" si="17"/>
        <v>N/A</v>
      </c>
      <c r="AN32" s="294">
        <v>0.50838000000000005</v>
      </c>
      <c r="AO32" s="294" t="s">
        <v>68</v>
      </c>
      <c r="AP32" s="294" t="s">
        <v>68</v>
      </c>
      <c r="AQ32" s="40" t="s">
        <v>75</v>
      </c>
      <c r="AR32" s="285" t="s">
        <v>68</v>
      </c>
      <c r="AS32" s="28">
        <v>128</v>
      </c>
      <c r="AT32" s="28">
        <v>200</v>
      </c>
      <c r="AU32" s="34">
        <v>1000000</v>
      </c>
      <c r="AV32" s="278">
        <v>5</v>
      </c>
      <c r="AW32" s="278" t="s">
        <v>117</v>
      </c>
      <c r="AX32" s="281">
        <v>1.1000000000000001</v>
      </c>
      <c r="AY32" s="281">
        <v>0.32</v>
      </c>
      <c r="AZ32" s="61">
        <v>21.4</v>
      </c>
      <c r="BA32" s="271">
        <v>21.4</v>
      </c>
      <c r="BB32" s="31">
        <v>56</v>
      </c>
      <c r="BC32" s="42" t="s">
        <v>73</v>
      </c>
      <c r="BD32" s="29"/>
      <c r="BE32" s="30" t="str">
        <f t="shared" si="9"/>
        <v>ST</v>
      </c>
      <c r="BF32" s="30" t="str">
        <f t="shared" si="10"/>
        <v>UHMWPE</v>
      </c>
      <c r="BG32" s="30" t="str">
        <f t="shared" si="11"/>
        <v>P</v>
      </c>
      <c r="BH32" s="30" t="str">
        <f t="shared" si="12"/>
        <v>M</v>
      </c>
      <c r="BI32" s="30" t="str">
        <f t="shared" si="13"/>
        <v>S</v>
      </c>
      <c r="BJ32" s="13"/>
      <c r="BK32" s="49" t="s">
        <v>122</v>
      </c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CD32" s="15" t="s">
        <v>463</v>
      </c>
      <c r="CE32" s="15" t="s">
        <v>464</v>
      </c>
      <c r="CF32" s="15" t="s">
        <v>465</v>
      </c>
    </row>
    <row r="33" spans="1:84">
      <c r="A33" s="25" t="str">
        <f t="shared" si="14"/>
        <v>HVIL001-UHMWPE-RT-AL-S10.0-0028</v>
      </c>
      <c r="B33" s="48">
        <v>43965.520833333336</v>
      </c>
      <c r="C33" s="632"/>
      <c r="D33" s="632"/>
      <c r="E33" s="632"/>
      <c r="F33" s="51">
        <v>28</v>
      </c>
      <c r="G33" s="44" t="s">
        <v>82</v>
      </c>
      <c r="H33" s="37" t="s">
        <v>66</v>
      </c>
      <c r="I33" s="37" t="s">
        <v>87</v>
      </c>
      <c r="J33" s="37" t="s">
        <v>105</v>
      </c>
      <c r="K33" s="39">
        <v>10</v>
      </c>
      <c r="L33" s="39">
        <v>10</v>
      </c>
      <c r="M33" s="39">
        <v>1</v>
      </c>
      <c r="N33" s="31">
        <v>1.417</v>
      </c>
      <c r="O33" s="63">
        <v>3.3809999999999998</v>
      </c>
      <c r="P33" s="37" t="s">
        <v>69</v>
      </c>
      <c r="Q33" s="53" t="s">
        <v>68</v>
      </c>
      <c r="R33" s="53">
        <v>64.311366000000007</v>
      </c>
      <c r="S33" s="457">
        <f t="shared" si="18"/>
        <v>4664.8052849631586</v>
      </c>
      <c r="T33" s="537">
        <v>3350</v>
      </c>
      <c r="U33" s="60">
        <v>1.401</v>
      </c>
      <c r="V33" s="60">
        <v>100.517</v>
      </c>
      <c r="W33" s="60">
        <v>0.02</v>
      </c>
      <c r="X33" s="60">
        <v>362.56799999999998</v>
      </c>
      <c r="Y33" s="31">
        <v>200</v>
      </c>
      <c r="Z33" s="37" t="s">
        <v>71</v>
      </c>
      <c r="AA33" s="31">
        <v>140</v>
      </c>
      <c r="AB33" s="39" t="s">
        <v>83</v>
      </c>
      <c r="AC33" s="41">
        <v>0</v>
      </c>
      <c r="AD33" s="41" t="s">
        <v>73</v>
      </c>
      <c r="AE33" s="41" t="s">
        <v>108</v>
      </c>
      <c r="AF33" s="40" t="str">
        <f t="shared" si="6"/>
        <v>N/A</v>
      </c>
      <c r="AG33" s="40" t="str">
        <f t="shared" si="6"/>
        <v>N/A</v>
      </c>
      <c r="AH33" s="41" t="s">
        <v>109</v>
      </c>
      <c r="AI33" s="40" t="str">
        <f t="shared" si="7"/>
        <v>N/A</v>
      </c>
      <c r="AJ33" s="40" t="s">
        <v>73</v>
      </c>
      <c r="AK33" s="40" t="str">
        <f t="shared" si="17"/>
        <v>N/A</v>
      </c>
      <c r="AL33" s="40" t="s">
        <v>70</v>
      </c>
      <c r="AM33" s="40" t="str">
        <f t="shared" si="17"/>
        <v>N/A</v>
      </c>
      <c r="AN33" s="294">
        <v>0.56659999999999999</v>
      </c>
      <c r="AO33" s="294">
        <v>0.56381000000000003</v>
      </c>
      <c r="AP33" s="291">
        <f t="shared" ref="AP33" si="19">IF(AN33="N/R","N/R",AN33-AO33)</f>
        <v>2.7899999999999592E-3</v>
      </c>
      <c r="AQ33" s="40" t="s">
        <v>75</v>
      </c>
      <c r="AR33" s="285">
        <v>202530</v>
      </c>
      <c r="AS33" s="28">
        <v>128</v>
      </c>
      <c r="AT33" s="28">
        <v>200</v>
      </c>
      <c r="AU33" s="34">
        <v>1000000</v>
      </c>
      <c r="AV33" s="278">
        <v>5</v>
      </c>
      <c r="AW33" s="278" t="s">
        <v>117</v>
      </c>
      <c r="AX33" s="281">
        <v>1.1000000000000001</v>
      </c>
      <c r="AY33" s="281">
        <v>0.32</v>
      </c>
      <c r="AZ33" s="61">
        <v>21.4</v>
      </c>
      <c r="BA33" s="271">
        <v>21.4</v>
      </c>
      <c r="BB33" s="31">
        <v>56</v>
      </c>
      <c r="BC33" s="42" t="s">
        <v>76</v>
      </c>
      <c r="BD33" s="29"/>
      <c r="BE33" s="30" t="str">
        <f t="shared" si="9"/>
        <v>AL</v>
      </c>
      <c r="BF33" s="30" t="str">
        <f t="shared" si="10"/>
        <v>UHMWPE</v>
      </c>
      <c r="BG33" s="30" t="str">
        <f t="shared" si="11"/>
        <v>P</v>
      </c>
      <c r="BH33" s="30" t="str">
        <f t="shared" si="12"/>
        <v>M</v>
      </c>
      <c r="BI33" s="30" t="str">
        <f t="shared" si="13"/>
        <v>S</v>
      </c>
      <c r="BJ33" s="13"/>
      <c r="BK33" s="49" t="s">
        <v>123</v>
      </c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CD33" s="15">
        <v>1952.8908310981305</v>
      </c>
      <c r="CE33" s="15">
        <v>203</v>
      </c>
      <c r="CF33" s="341">
        <v>1.8175247624557851</v>
      </c>
    </row>
    <row r="34" spans="1:84">
      <c r="A34" s="25" t="str">
        <f t="shared" si="14"/>
        <v>HVIL001-UHMWPE-RT-AL-S10.0-0029</v>
      </c>
      <c r="B34" s="48">
        <v>43969.458333333336</v>
      </c>
      <c r="C34" s="632"/>
      <c r="D34" s="632"/>
      <c r="E34" s="632"/>
      <c r="F34" s="50">
        <v>29</v>
      </c>
      <c r="G34" s="44" t="s">
        <v>82</v>
      </c>
      <c r="H34" s="37" t="s">
        <v>66</v>
      </c>
      <c r="I34" s="37" t="s">
        <v>87</v>
      </c>
      <c r="J34" s="37" t="s">
        <v>105</v>
      </c>
      <c r="K34" s="39">
        <v>10</v>
      </c>
      <c r="L34" s="39">
        <v>10</v>
      </c>
      <c r="M34" s="39">
        <v>1</v>
      </c>
      <c r="N34" s="31">
        <v>1.4139999999999999</v>
      </c>
      <c r="O34" s="63">
        <v>3.387</v>
      </c>
      <c r="P34" s="37" t="s">
        <v>69</v>
      </c>
      <c r="Q34" s="468">
        <f>114067000/1000000</f>
        <v>114.06699999999999</v>
      </c>
      <c r="R34" s="53">
        <v>60.757026000000003</v>
      </c>
      <c r="S34" s="457">
        <f t="shared" si="18"/>
        <v>4937.7005385352468</v>
      </c>
      <c r="T34" s="537">
        <v>3700</v>
      </c>
      <c r="U34" s="60">
        <v>1.5109999999999999</v>
      </c>
      <c r="V34" s="60">
        <v>100.004</v>
      </c>
      <c r="W34" s="60">
        <v>0.02</v>
      </c>
      <c r="X34" s="60">
        <v>365.33199999999999</v>
      </c>
      <c r="Y34" s="31">
        <v>200</v>
      </c>
      <c r="Z34" s="37" t="s">
        <v>71</v>
      </c>
      <c r="AA34" s="31">
        <v>140</v>
      </c>
      <c r="AB34" s="39" t="s">
        <v>83</v>
      </c>
      <c r="AC34" s="41">
        <v>0</v>
      </c>
      <c r="AD34" s="41" t="s">
        <v>73</v>
      </c>
      <c r="AE34" s="41" t="s">
        <v>108</v>
      </c>
      <c r="AF34" s="40" t="str">
        <f t="shared" si="6"/>
        <v>N/A</v>
      </c>
      <c r="AG34" s="40" t="str">
        <f t="shared" si="6"/>
        <v>N/A</v>
      </c>
      <c r="AH34" s="41" t="s">
        <v>109</v>
      </c>
      <c r="AI34" s="40" t="str">
        <f t="shared" si="7"/>
        <v>N/A</v>
      </c>
      <c r="AJ34" s="40" t="s">
        <v>73</v>
      </c>
      <c r="AK34" s="40" t="str">
        <f t="shared" si="17"/>
        <v>N/A</v>
      </c>
      <c r="AL34" s="40" t="s">
        <v>70</v>
      </c>
      <c r="AM34" s="40" t="str">
        <f t="shared" si="17"/>
        <v>N/A</v>
      </c>
      <c r="AN34" s="294">
        <v>0.56413000000000002</v>
      </c>
      <c r="AO34" s="294">
        <v>0.56123000000000001</v>
      </c>
      <c r="AP34" s="294">
        <f t="shared" ref="AP34:AP46" si="20">AN34-AO34</f>
        <v>2.9000000000000137E-3</v>
      </c>
      <c r="AQ34" s="40" t="s">
        <v>75</v>
      </c>
      <c r="AR34" s="285">
        <v>218588</v>
      </c>
      <c r="AS34" s="28">
        <v>128</v>
      </c>
      <c r="AT34" s="28">
        <v>200</v>
      </c>
      <c r="AU34" s="34">
        <v>1000000</v>
      </c>
      <c r="AV34" s="278">
        <v>5</v>
      </c>
      <c r="AW34" s="278" t="s">
        <v>117</v>
      </c>
      <c r="AX34" s="281">
        <v>1.1000000000000001</v>
      </c>
      <c r="AY34" s="281">
        <v>0.32</v>
      </c>
      <c r="AZ34" s="61">
        <v>21.7</v>
      </c>
      <c r="BA34" s="271">
        <v>21.7</v>
      </c>
      <c r="BB34" s="31">
        <v>57</v>
      </c>
      <c r="BC34" s="42" t="s">
        <v>76</v>
      </c>
      <c r="BD34" s="29"/>
      <c r="BE34" s="30" t="str">
        <f t="shared" si="9"/>
        <v>AL</v>
      </c>
      <c r="BF34" s="30" t="str">
        <f t="shared" si="10"/>
        <v>UHMWPE</v>
      </c>
      <c r="BG34" s="30" t="str">
        <f t="shared" si="11"/>
        <v>P</v>
      </c>
      <c r="BH34" s="30" t="str">
        <f t="shared" si="12"/>
        <v>M</v>
      </c>
      <c r="BI34" s="30" t="str">
        <f t="shared" si="13"/>
        <v>S</v>
      </c>
      <c r="BJ34" s="13"/>
      <c r="BK34" s="49" t="s">
        <v>123</v>
      </c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CD34" s="15">
        <v>1971.1323203780705</v>
      </c>
      <c r="CE34" s="15">
        <v>200</v>
      </c>
      <c r="CF34" s="341">
        <v>1.709645282786121</v>
      </c>
    </row>
    <row r="35" spans="1:84">
      <c r="A35" s="25" t="str">
        <f t="shared" si="14"/>
        <v>HVIL001-UHMWPE-RT-AL-S10.0-0030</v>
      </c>
      <c r="B35" s="48">
        <v>43969.541666666664</v>
      </c>
      <c r="C35" s="632"/>
      <c r="D35" s="632"/>
      <c r="E35" s="632"/>
      <c r="F35" s="50">
        <v>30</v>
      </c>
      <c r="G35" s="44" t="s">
        <v>82</v>
      </c>
      <c r="H35" s="37" t="s">
        <v>66</v>
      </c>
      <c r="I35" s="37" t="s">
        <v>87</v>
      </c>
      <c r="J35" s="37" t="s">
        <v>105</v>
      </c>
      <c r="K35" s="39">
        <v>10</v>
      </c>
      <c r="L35" s="39">
        <v>10</v>
      </c>
      <c r="M35" s="39">
        <v>1</v>
      </c>
      <c r="N35" s="31">
        <v>1.4139999999999999</v>
      </c>
      <c r="O35" s="63">
        <v>3.3879999999999999</v>
      </c>
      <c r="P35" s="37" t="s">
        <v>69</v>
      </c>
      <c r="Q35" s="53">
        <f>74453500/1000000</f>
        <v>74.453500000000005</v>
      </c>
      <c r="R35" s="53">
        <v>77.985664</v>
      </c>
      <c r="S35" s="457">
        <f t="shared" si="18"/>
        <v>3846.8608794559987</v>
      </c>
      <c r="T35" s="537">
        <v>3060</v>
      </c>
      <c r="U35" s="60">
        <v>1.7450000000000001</v>
      </c>
      <c r="V35" s="60">
        <v>101.001</v>
      </c>
      <c r="W35" s="60">
        <v>0.02</v>
      </c>
      <c r="X35" s="60">
        <v>367.12599999999998</v>
      </c>
      <c r="Y35" s="31">
        <v>200</v>
      </c>
      <c r="Z35" s="37" t="s">
        <v>71</v>
      </c>
      <c r="AA35" s="31">
        <v>279</v>
      </c>
      <c r="AB35" s="39" t="s">
        <v>83</v>
      </c>
      <c r="AC35" s="41">
        <v>0</v>
      </c>
      <c r="AD35" s="41" t="s">
        <v>73</v>
      </c>
      <c r="AE35" s="41" t="s">
        <v>108</v>
      </c>
      <c r="AF35" s="40" t="str">
        <f t="shared" si="6"/>
        <v>N/A</v>
      </c>
      <c r="AG35" s="40" t="str">
        <f t="shared" si="6"/>
        <v>N/A</v>
      </c>
      <c r="AH35" s="41" t="s">
        <v>109</v>
      </c>
      <c r="AI35" s="40" t="str">
        <f t="shared" si="7"/>
        <v>N/A</v>
      </c>
      <c r="AJ35" s="40" t="s">
        <v>73</v>
      </c>
      <c r="AK35" s="40" t="str">
        <f t="shared" si="17"/>
        <v>N/A</v>
      </c>
      <c r="AL35" s="40" t="s">
        <v>70</v>
      </c>
      <c r="AM35" s="40" t="str">
        <f t="shared" si="17"/>
        <v>N/A</v>
      </c>
      <c r="AN35" s="294">
        <v>0.58428000000000002</v>
      </c>
      <c r="AO35" s="294">
        <v>0.58179999999999998</v>
      </c>
      <c r="AP35" s="294">
        <f t="shared" si="20"/>
        <v>2.4800000000000377E-3</v>
      </c>
      <c r="AQ35" s="40" t="s">
        <v>75</v>
      </c>
      <c r="AR35" s="285">
        <v>280358</v>
      </c>
      <c r="AS35" s="28">
        <v>128</v>
      </c>
      <c r="AT35" s="28">
        <v>200</v>
      </c>
      <c r="AU35" s="34">
        <v>1000000</v>
      </c>
      <c r="AV35" s="278">
        <v>5</v>
      </c>
      <c r="AW35" s="278" t="s">
        <v>117</v>
      </c>
      <c r="AX35" s="281">
        <v>1.1000000000000001</v>
      </c>
      <c r="AY35" s="281">
        <v>0.32</v>
      </c>
      <c r="AZ35" s="61">
        <v>21.8</v>
      </c>
      <c r="BA35" s="271">
        <v>21.8</v>
      </c>
      <c r="BB35" s="31">
        <v>57</v>
      </c>
      <c r="BC35" s="42" t="s">
        <v>76</v>
      </c>
      <c r="BD35" s="29"/>
      <c r="BE35" s="30" t="str">
        <f t="shared" si="9"/>
        <v>AL</v>
      </c>
      <c r="BF35" s="30" t="str">
        <f t="shared" si="10"/>
        <v>UHMWPE</v>
      </c>
      <c r="BG35" s="30" t="str">
        <f t="shared" si="11"/>
        <v>P</v>
      </c>
      <c r="BH35" s="30" t="str">
        <f t="shared" si="12"/>
        <v>M</v>
      </c>
      <c r="BI35" s="30" t="str">
        <f t="shared" si="13"/>
        <v>S</v>
      </c>
      <c r="BJ35" s="13"/>
      <c r="BK35" s="49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CD35" s="15">
        <v>2033.7881496032053</v>
      </c>
      <c r="CE35" s="15">
        <v>200</v>
      </c>
      <c r="CF35" s="341">
        <v>1.965986970249328</v>
      </c>
    </row>
    <row r="36" spans="1:84">
      <c r="A36" s="25" t="str">
        <f t="shared" si="14"/>
        <v>HVIL001-UHMWPE-RT-AL-S10.0-0031</v>
      </c>
      <c r="B36" s="48">
        <v>43969.604166666664</v>
      </c>
      <c r="C36" s="632"/>
      <c r="D36" s="632"/>
      <c r="E36" s="632"/>
      <c r="F36" s="51">
        <v>31</v>
      </c>
      <c r="G36" s="44" t="s">
        <v>82</v>
      </c>
      <c r="H36" s="37" t="s">
        <v>66</v>
      </c>
      <c r="I36" s="37" t="s">
        <v>87</v>
      </c>
      <c r="J36" s="37" t="s">
        <v>105</v>
      </c>
      <c r="K36" s="39">
        <v>10</v>
      </c>
      <c r="L36" s="39">
        <v>10</v>
      </c>
      <c r="M36" s="39">
        <v>1</v>
      </c>
      <c r="N36" s="31">
        <v>1.4179999999999999</v>
      </c>
      <c r="O36" s="63">
        <v>3.3719999999999999</v>
      </c>
      <c r="P36" s="37" t="s">
        <v>69</v>
      </c>
      <c r="Q36" s="53" t="s">
        <v>68</v>
      </c>
      <c r="R36" s="53">
        <v>73.331121999999993</v>
      </c>
      <c r="S36" s="457">
        <f t="shared" si="18"/>
        <v>4091.0324541331852</v>
      </c>
      <c r="T36" s="537">
        <v>3247</v>
      </c>
      <c r="U36" s="60">
        <v>1.7509999999999999</v>
      </c>
      <c r="V36" s="60">
        <v>100.051</v>
      </c>
      <c r="W36" s="60">
        <v>0.02</v>
      </c>
      <c r="X36" s="60">
        <v>363.75200000000001</v>
      </c>
      <c r="Y36" s="31">
        <v>200</v>
      </c>
      <c r="Z36" s="37" t="s">
        <v>71</v>
      </c>
      <c r="AA36" s="31">
        <v>279</v>
      </c>
      <c r="AB36" s="39" t="s">
        <v>83</v>
      </c>
      <c r="AC36" s="41">
        <v>0</v>
      </c>
      <c r="AD36" s="41" t="s">
        <v>73</v>
      </c>
      <c r="AE36" s="41" t="s">
        <v>108</v>
      </c>
      <c r="AF36" s="40" t="str">
        <f t="shared" si="6"/>
        <v>N/A</v>
      </c>
      <c r="AG36" s="40" t="str">
        <f t="shared" si="6"/>
        <v>N/A</v>
      </c>
      <c r="AH36" s="41" t="s">
        <v>109</v>
      </c>
      <c r="AI36" s="40" t="str">
        <f t="shared" si="7"/>
        <v>N/A</v>
      </c>
      <c r="AJ36" s="40" t="s">
        <v>73</v>
      </c>
      <c r="AK36" s="40" t="str">
        <f t="shared" si="17"/>
        <v>N/A</v>
      </c>
      <c r="AL36" s="40" t="s">
        <v>70</v>
      </c>
      <c r="AM36" s="40" t="str">
        <f t="shared" si="17"/>
        <v>N/A</v>
      </c>
      <c r="AN36" s="294">
        <v>0.59567999999999999</v>
      </c>
      <c r="AO36" s="294">
        <v>0.59311000000000003</v>
      </c>
      <c r="AP36" s="294">
        <f t="shared" si="20"/>
        <v>2.5699999999999612E-3</v>
      </c>
      <c r="AQ36" s="40" t="s">
        <v>75</v>
      </c>
      <c r="AR36" s="285">
        <v>263775</v>
      </c>
      <c r="AS36" s="28">
        <v>128</v>
      </c>
      <c r="AT36" s="28">
        <v>200</v>
      </c>
      <c r="AU36" s="34">
        <v>1000000</v>
      </c>
      <c r="AV36" s="278">
        <v>5</v>
      </c>
      <c r="AW36" s="278" t="s">
        <v>117</v>
      </c>
      <c r="AX36" s="281">
        <v>1.1000000000000001</v>
      </c>
      <c r="AY36" s="281">
        <v>0.32</v>
      </c>
      <c r="AZ36" s="61">
        <v>21.8</v>
      </c>
      <c r="BA36" s="271">
        <v>21.8</v>
      </c>
      <c r="BB36" s="31">
        <v>57</v>
      </c>
      <c r="BC36" s="42" t="s">
        <v>76</v>
      </c>
      <c r="BD36" s="29"/>
      <c r="BE36" s="30" t="str">
        <f t="shared" si="9"/>
        <v>AL</v>
      </c>
      <c r="BF36" s="30" t="str">
        <f t="shared" si="10"/>
        <v>UHMWPE</v>
      </c>
      <c r="BG36" s="30" t="str">
        <f t="shared" si="11"/>
        <v>P</v>
      </c>
      <c r="BH36" s="30" t="str">
        <f t="shared" si="12"/>
        <v>M</v>
      </c>
      <c r="BI36" s="30" t="str">
        <f t="shared" si="13"/>
        <v>S</v>
      </c>
      <c r="BJ36" s="13"/>
      <c r="BK36" s="49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CD36" s="15">
        <v>2264.1999999999998</v>
      </c>
      <c r="CE36" s="15">
        <v>300</v>
      </c>
      <c r="CF36" s="341">
        <v>2.143365790497803</v>
      </c>
    </row>
    <row r="37" spans="1:84">
      <c r="A37" s="25" t="str">
        <f t="shared" si="14"/>
        <v>HVIL001-UHMWPE-RT-AL-S10.0-0032</v>
      </c>
      <c r="B37" s="48">
        <v>43970.513888888891</v>
      </c>
      <c r="C37" s="632"/>
      <c r="D37" s="632"/>
      <c r="E37" s="632"/>
      <c r="F37" s="50">
        <v>32</v>
      </c>
      <c r="G37" s="44" t="s">
        <v>82</v>
      </c>
      <c r="H37" s="37" t="s">
        <v>66</v>
      </c>
      <c r="I37" s="37" t="s">
        <v>87</v>
      </c>
      <c r="J37" s="37" t="s">
        <v>105</v>
      </c>
      <c r="K37" s="39">
        <v>10</v>
      </c>
      <c r="L37" s="39">
        <v>10</v>
      </c>
      <c r="M37" s="39">
        <v>1</v>
      </c>
      <c r="N37" s="31">
        <v>1.415</v>
      </c>
      <c r="O37" s="63">
        <v>3.3889999999999998</v>
      </c>
      <c r="P37" s="37" t="s">
        <v>69</v>
      </c>
      <c r="Q37" s="53">
        <f>53558100/1000000</f>
        <v>53.558100000000003</v>
      </c>
      <c r="R37" s="256">
        <v>53.426879999999997</v>
      </c>
      <c r="S37" s="457">
        <f t="shared" si="18"/>
        <v>5615.1510251019718</v>
      </c>
      <c r="T37" s="537" t="s">
        <v>68</v>
      </c>
      <c r="U37" s="60">
        <v>1.7509999999999999</v>
      </c>
      <c r="V37" s="60">
        <v>130.02099999999999</v>
      </c>
      <c r="W37" s="60">
        <v>0.02</v>
      </c>
      <c r="X37" s="60">
        <v>363.58600000000001</v>
      </c>
      <c r="Y37" s="31">
        <v>200</v>
      </c>
      <c r="Z37" s="37" t="s">
        <v>71</v>
      </c>
      <c r="AA37" s="31">
        <v>140</v>
      </c>
      <c r="AB37" s="39" t="s">
        <v>83</v>
      </c>
      <c r="AC37" s="41">
        <v>0</v>
      </c>
      <c r="AD37" s="41" t="s">
        <v>73</v>
      </c>
      <c r="AE37" s="41" t="s">
        <v>108</v>
      </c>
      <c r="AF37" s="40" t="str">
        <f t="shared" si="6"/>
        <v>N/A</v>
      </c>
      <c r="AG37" s="40" t="str">
        <f t="shared" si="6"/>
        <v>N/A</v>
      </c>
      <c r="AH37" s="41" t="s">
        <v>109</v>
      </c>
      <c r="AI37" s="40" t="str">
        <f t="shared" si="7"/>
        <v>N/A</v>
      </c>
      <c r="AJ37" s="40" t="s">
        <v>73</v>
      </c>
      <c r="AK37" s="40" t="str">
        <f t="shared" si="17"/>
        <v>N/A</v>
      </c>
      <c r="AL37" s="40" t="s">
        <v>70</v>
      </c>
      <c r="AM37" s="40" t="str">
        <f t="shared" si="17"/>
        <v>N/A</v>
      </c>
      <c r="AN37" s="294">
        <v>0.56811</v>
      </c>
      <c r="AO37" s="294">
        <v>0.56332000000000004</v>
      </c>
      <c r="AP37" s="294">
        <f t="shared" si="20"/>
        <v>4.789999999999961E-3</v>
      </c>
      <c r="AQ37" s="40" t="s">
        <v>75</v>
      </c>
      <c r="AR37" s="285">
        <v>192186</v>
      </c>
      <c r="AS37" s="28">
        <v>128</v>
      </c>
      <c r="AT37" s="28">
        <v>200</v>
      </c>
      <c r="AU37" s="34">
        <v>1000000</v>
      </c>
      <c r="AV37" s="278">
        <v>5</v>
      </c>
      <c r="AW37" s="278">
        <v>11</v>
      </c>
      <c r="AX37" s="281">
        <v>1.1000000000000001</v>
      </c>
      <c r="AY37" s="281">
        <v>0.32</v>
      </c>
      <c r="AZ37" s="61">
        <v>21.8</v>
      </c>
      <c r="BA37" s="271">
        <v>21.8</v>
      </c>
      <c r="BB37" s="31">
        <v>57</v>
      </c>
      <c r="BC37" s="42" t="s">
        <v>76</v>
      </c>
      <c r="BD37" s="29"/>
      <c r="BE37" s="30" t="str">
        <f t="shared" si="9"/>
        <v>AL</v>
      </c>
      <c r="BF37" s="30" t="str">
        <f t="shared" si="10"/>
        <v>UHMWPE</v>
      </c>
      <c r="BG37" s="30" t="str">
        <f t="shared" si="11"/>
        <v>P</v>
      </c>
      <c r="BH37" s="30" t="str">
        <f t="shared" si="12"/>
        <v>M</v>
      </c>
      <c r="BI37" s="30" t="str">
        <f t="shared" si="13"/>
        <v>S</v>
      </c>
      <c r="BJ37" s="13"/>
      <c r="BK37" s="49" t="s">
        <v>124</v>
      </c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CD37" s="15">
        <v>2434.9</v>
      </c>
      <c r="CE37" s="15">
        <v>299</v>
      </c>
      <c r="CF37" s="341">
        <v>2.137230837347087</v>
      </c>
    </row>
    <row r="38" spans="1:84">
      <c r="A38" s="25" t="str">
        <f t="shared" si="14"/>
        <v>HVIL001-UHMWPE-RT-AL-S10.0-0033</v>
      </c>
      <c r="B38" s="48">
        <v>43970.583333333336</v>
      </c>
      <c r="C38" s="632"/>
      <c r="D38" s="632"/>
      <c r="E38" s="632"/>
      <c r="F38" s="50">
        <v>33</v>
      </c>
      <c r="G38" s="44" t="s">
        <v>82</v>
      </c>
      <c r="H38" s="37" t="s">
        <v>66</v>
      </c>
      <c r="I38" s="37" t="s">
        <v>87</v>
      </c>
      <c r="J38" s="37" t="s">
        <v>105</v>
      </c>
      <c r="K38" s="39">
        <v>10</v>
      </c>
      <c r="L38" s="39">
        <v>10</v>
      </c>
      <c r="M38" s="39">
        <v>1</v>
      </c>
      <c r="N38" s="31">
        <v>1.4179999999999999</v>
      </c>
      <c r="O38" s="63">
        <v>3.3820000000000001</v>
      </c>
      <c r="P38" s="37" t="s">
        <v>69</v>
      </c>
      <c r="Q38" s="468">
        <f>59560700/1000000</f>
        <v>59.560699999999997</v>
      </c>
      <c r="R38" s="53">
        <v>55.977106999999997</v>
      </c>
      <c r="S38" s="457">
        <f t="shared" si="18"/>
        <v>5359.3337719292995</v>
      </c>
      <c r="T38" s="537">
        <v>4050</v>
      </c>
      <c r="U38" s="60">
        <v>1.754</v>
      </c>
      <c r="V38" s="60">
        <v>120.069</v>
      </c>
      <c r="W38" s="60">
        <v>0.02</v>
      </c>
      <c r="X38" s="60">
        <v>363.65699999999998</v>
      </c>
      <c r="Y38" s="31">
        <v>200</v>
      </c>
      <c r="Z38" s="37" t="s">
        <v>71</v>
      </c>
      <c r="AA38" s="31">
        <v>141</v>
      </c>
      <c r="AB38" s="39" t="s">
        <v>83</v>
      </c>
      <c r="AC38" s="41">
        <v>0</v>
      </c>
      <c r="AD38" s="41" t="s">
        <v>73</v>
      </c>
      <c r="AE38" s="41" t="s">
        <v>108</v>
      </c>
      <c r="AF38" s="40" t="str">
        <f t="shared" si="6"/>
        <v>N/A</v>
      </c>
      <c r="AG38" s="40" t="str">
        <f t="shared" si="6"/>
        <v>N/A</v>
      </c>
      <c r="AH38" s="41" t="s">
        <v>109</v>
      </c>
      <c r="AI38" s="40" t="str">
        <f t="shared" si="7"/>
        <v>N/A</v>
      </c>
      <c r="AJ38" s="40" t="s">
        <v>73</v>
      </c>
      <c r="AK38" s="40" t="str">
        <f t="shared" si="17"/>
        <v>N/A</v>
      </c>
      <c r="AL38" s="40" t="s">
        <v>70</v>
      </c>
      <c r="AM38" s="40" t="str">
        <f t="shared" si="17"/>
        <v>N/A</v>
      </c>
      <c r="AN38" s="294">
        <v>0.58735999999999999</v>
      </c>
      <c r="AO38" s="294">
        <v>0.58418000000000003</v>
      </c>
      <c r="AP38" s="294">
        <f t="shared" si="20"/>
        <v>3.1799999999999606E-3</v>
      </c>
      <c r="AQ38" s="40" t="s">
        <v>75</v>
      </c>
      <c r="AR38" s="285">
        <v>199452</v>
      </c>
      <c r="AS38" s="28">
        <v>128</v>
      </c>
      <c r="AT38" s="28">
        <v>200</v>
      </c>
      <c r="AU38" s="34">
        <v>1000000</v>
      </c>
      <c r="AV38" s="278">
        <v>6</v>
      </c>
      <c r="AW38" s="278">
        <v>8</v>
      </c>
      <c r="AX38" s="281">
        <v>1.1000000000000001</v>
      </c>
      <c r="AY38" s="281">
        <v>0.32</v>
      </c>
      <c r="AZ38" s="61">
        <v>21.8</v>
      </c>
      <c r="BA38" s="271">
        <v>21.8</v>
      </c>
      <c r="BB38" s="31">
        <v>57</v>
      </c>
      <c r="BC38" s="42" t="s">
        <v>76</v>
      </c>
      <c r="BD38" s="29"/>
      <c r="BE38" s="30" t="str">
        <f t="shared" si="9"/>
        <v>AL</v>
      </c>
      <c r="BF38" s="30" t="str">
        <f t="shared" si="10"/>
        <v>UHMWPE</v>
      </c>
      <c r="BG38" s="30" t="str">
        <f t="shared" si="11"/>
        <v>P</v>
      </c>
      <c r="BH38" s="30" t="str">
        <f t="shared" si="12"/>
        <v>M</v>
      </c>
      <c r="BI38" s="30" t="str">
        <f t="shared" si="13"/>
        <v>S</v>
      </c>
      <c r="BJ38" s="13"/>
      <c r="BK38" s="49" t="s">
        <v>125</v>
      </c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CD38" s="15">
        <v>2498</v>
      </c>
      <c r="CE38" s="15">
        <v>215</v>
      </c>
    </row>
    <row r="39" spans="1:84">
      <c r="A39" s="25" t="str">
        <f t="shared" si="14"/>
        <v>HVIL001-HDPE-RT-AL-S10.0-0034</v>
      </c>
      <c r="B39" s="48">
        <v>43979.59375</v>
      </c>
      <c r="C39" s="632"/>
      <c r="D39" s="632"/>
      <c r="E39" s="632"/>
      <c r="F39" s="51">
        <v>34</v>
      </c>
      <c r="G39" s="44" t="s">
        <v>82</v>
      </c>
      <c r="H39" s="37" t="s">
        <v>66</v>
      </c>
      <c r="I39" s="37" t="s">
        <v>87</v>
      </c>
      <c r="J39" s="37" t="s">
        <v>105</v>
      </c>
      <c r="K39" s="39">
        <v>10</v>
      </c>
      <c r="L39" s="39">
        <v>10</v>
      </c>
      <c r="M39" s="39">
        <v>1</v>
      </c>
      <c r="N39" s="31">
        <v>1.4159999999999999</v>
      </c>
      <c r="O39" s="63">
        <f>3.402-0.013</f>
        <v>3.3890000000000002</v>
      </c>
      <c r="P39" s="37" t="s">
        <v>69</v>
      </c>
      <c r="Q39" s="53">
        <f>72217300/1000000</f>
        <v>72.217299999999994</v>
      </c>
      <c r="R39" s="53">
        <v>60.527538</v>
      </c>
      <c r="S39" s="457">
        <f t="shared" si="18"/>
        <v>4956.4216538924811</v>
      </c>
      <c r="T39" s="537" t="s">
        <v>68</v>
      </c>
      <c r="U39" s="60">
        <v>1.7490000000000001</v>
      </c>
      <c r="V39" s="60">
        <v>110.108</v>
      </c>
      <c r="W39" s="60">
        <v>0.02</v>
      </c>
      <c r="X39" s="60">
        <v>365.387</v>
      </c>
      <c r="Y39" s="31">
        <v>200</v>
      </c>
      <c r="Z39" s="37" t="s">
        <v>71</v>
      </c>
      <c r="AA39" s="31">
        <v>161</v>
      </c>
      <c r="AB39" s="39" t="s">
        <v>83</v>
      </c>
      <c r="AC39" s="41">
        <v>0</v>
      </c>
      <c r="AD39" s="41" t="s">
        <v>73</v>
      </c>
      <c r="AE39" s="41" t="s">
        <v>100</v>
      </c>
      <c r="AF39" s="40" t="str">
        <f t="shared" si="6"/>
        <v>N/A</v>
      </c>
      <c r="AG39" s="40" t="str">
        <f t="shared" si="6"/>
        <v>N/A</v>
      </c>
      <c r="AH39" s="41" t="s">
        <v>102</v>
      </c>
      <c r="AI39" s="40" t="str">
        <f t="shared" si="7"/>
        <v>N/A</v>
      </c>
      <c r="AJ39" s="40" t="s">
        <v>73</v>
      </c>
      <c r="AK39" s="40" t="str">
        <f t="shared" si="17"/>
        <v>N/A</v>
      </c>
      <c r="AL39" s="40" t="s">
        <v>70</v>
      </c>
      <c r="AM39" s="40" t="str">
        <f t="shared" si="17"/>
        <v>N/A</v>
      </c>
      <c r="AN39" s="294">
        <v>0.55794999999999995</v>
      </c>
      <c r="AO39" s="294">
        <v>0.55557000000000001</v>
      </c>
      <c r="AP39" s="294">
        <f t="shared" si="20"/>
        <v>2.3799999999999377E-3</v>
      </c>
      <c r="AQ39" s="40" t="s">
        <v>75</v>
      </c>
      <c r="AR39" s="285">
        <v>190588</v>
      </c>
      <c r="AS39" s="28">
        <v>128</v>
      </c>
      <c r="AT39" s="28">
        <v>200</v>
      </c>
      <c r="AU39" s="34">
        <v>1000000</v>
      </c>
      <c r="AV39" s="278">
        <v>6</v>
      </c>
      <c r="AW39" s="278">
        <v>8</v>
      </c>
      <c r="AX39" s="281">
        <v>1.1000000000000001</v>
      </c>
      <c r="AY39" s="281">
        <v>0.32</v>
      </c>
      <c r="AZ39" s="61">
        <v>21.8</v>
      </c>
      <c r="BA39" s="271">
        <v>21.8</v>
      </c>
      <c r="BB39" s="31">
        <v>57</v>
      </c>
      <c r="BC39" s="42" t="s">
        <v>76</v>
      </c>
      <c r="BD39" s="29"/>
      <c r="BE39" s="30" t="str">
        <f t="shared" si="9"/>
        <v>AL</v>
      </c>
      <c r="BF39" s="30" t="str">
        <f t="shared" si="10"/>
        <v>HDPE</v>
      </c>
      <c r="BG39" s="30" t="str">
        <f t="shared" si="11"/>
        <v>P</v>
      </c>
      <c r="BH39" s="30" t="str">
        <f t="shared" si="12"/>
        <v>M</v>
      </c>
      <c r="BI39" s="30" t="str">
        <f t="shared" si="13"/>
        <v>S</v>
      </c>
      <c r="BJ39" s="13"/>
      <c r="BK39" s="49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CD39" s="15">
        <v>2513.9501608375035</v>
      </c>
      <c r="CE39" s="15">
        <v>200</v>
      </c>
      <c r="CF39" s="341">
        <v>1.9463796846801129</v>
      </c>
    </row>
    <row r="40" spans="1:84">
      <c r="A40" s="25" t="str">
        <f t="shared" si="14"/>
        <v>HVIL001-UHMWPE-RT-ST-S04.0-0035</v>
      </c>
      <c r="B40" s="48">
        <v>43980.489583333336</v>
      </c>
      <c r="C40" s="632"/>
      <c r="D40" s="632"/>
      <c r="E40" s="632"/>
      <c r="F40" s="50">
        <v>35</v>
      </c>
      <c r="G40" s="44" t="s">
        <v>82</v>
      </c>
      <c r="H40" s="37" t="s">
        <v>66</v>
      </c>
      <c r="I40" s="37" t="s">
        <v>120</v>
      </c>
      <c r="J40" s="37" t="s">
        <v>126</v>
      </c>
      <c r="K40" s="39">
        <v>4</v>
      </c>
      <c r="L40" s="39">
        <v>4</v>
      </c>
      <c r="M40" s="39">
        <v>1</v>
      </c>
      <c r="N40" s="31">
        <v>0.25900000000000001</v>
      </c>
      <c r="O40" s="63">
        <f>2.329-0.014</f>
        <v>2.3150000000000004</v>
      </c>
      <c r="P40" s="37" t="s">
        <v>69</v>
      </c>
      <c r="Q40" s="207">
        <f>105655000/1000000</f>
        <v>105.655</v>
      </c>
      <c r="R40" s="53">
        <v>66.869786000000005</v>
      </c>
      <c r="S40" s="457">
        <f t="shared" si="18"/>
        <v>4486.3310912943552</v>
      </c>
      <c r="T40" s="537" t="s">
        <v>68</v>
      </c>
      <c r="U40" s="60">
        <v>1.7430000000000001</v>
      </c>
      <c r="V40" s="60">
        <v>100.051</v>
      </c>
      <c r="W40" s="60">
        <v>0.02</v>
      </c>
      <c r="X40" s="60">
        <v>363.93799999999999</v>
      </c>
      <c r="Y40" s="31">
        <v>200</v>
      </c>
      <c r="Z40" s="37" t="s">
        <v>71</v>
      </c>
      <c r="AA40" s="31">
        <v>280</v>
      </c>
      <c r="AB40" s="39" t="s">
        <v>83</v>
      </c>
      <c r="AC40" s="41">
        <v>0</v>
      </c>
      <c r="AD40" s="41" t="s">
        <v>73</v>
      </c>
      <c r="AE40" s="41" t="s">
        <v>108</v>
      </c>
      <c r="AF40" s="40" t="str">
        <f t="shared" si="6"/>
        <v>N/A</v>
      </c>
      <c r="AG40" s="40" t="str">
        <f t="shared" si="6"/>
        <v>N/A</v>
      </c>
      <c r="AH40" s="41" t="s">
        <v>109</v>
      </c>
      <c r="AI40" s="40" t="str">
        <f t="shared" si="7"/>
        <v>N/A</v>
      </c>
      <c r="AJ40" s="40" t="s">
        <v>73</v>
      </c>
      <c r="AK40" s="40" t="str">
        <f t="shared" si="17"/>
        <v>N/A</v>
      </c>
      <c r="AL40" s="40" t="s">
        <v>70</v>
      </c>
      <c r="AM40" s="40" t="str">
        <f t="shared" si="17"/>
        <v>N/A</v>
      </c>
      <c r="AN40" s="294">
        <v>0.57716000000000001</v>
      </c>
      <c r="AO40" s="294">
        <v>0.57682999999999995</v>
      </c>
      <c r="AP40" s="294">
        <f t="shared" si="20"/>
        <v>3.3000000000005247E-4</v>
      </c>
      <c r="AQ40" s="40" t="s">
        <v>75</v>
      </c>
      <c r="AR40" s="285">
        <v>210497</v>
      </c>
      <c r="AS40" s="28">
        <v>128</v>
      </c>
      <c r="AT40" s="28">
        <v>200</v>
      </c>
      <c r="AU40" s="34">
        <v>1000000</v>
      </c>
      <c r="AV40" s="278">
        <v>6</v>
      </c>
      <c r="AW40" s="278">
        <v>8</v>
      </c>
      <c r="AX40" s="281">
        <v>1.1000000000000001</v>
      </c>
      <c r="AY40" s="281">
        <v>0.32</v>
      </c>
      <c r="AZ40" s="61">
        <v>21.8</v>
      </c>
      <c r="BA40" s="271">
        <v>21.8</v>
      </c>
      <c r="BB40" s="31">
        <v>57</v>
      </c>
      <c r="BC40" s="42" t="s">
        <v>76</v>
      </c>
      <c r="BD40" s="29"/>
      <c r="BE40" s="30" t="str">
        <f t="shared" si="9"/>
        <v>ST</v>
      </c>
      <c r="BF40" s="30" t="str">
        <f t="shared" si="10"/>
        <v>UHMWPE</v>
      </c>
      <c r="BG40" s="30" t="str">
        <f t="shared" si="11"/>
        <v>P</v>
      </c>
      <c r="BH40" s="30" t="str">
        <f t="shared" si="12"/>
        <v>M</v>
      </c>
      <c r="BI40" s="30" t="str">
        <f t="shared" si="13"/>
        <v>S</v>
      </c>
      <c r="BJ40" s="13"/>
      <c r="BK40" s="49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CD40" s="15">
        <v>2625.8349104681324</v>
      </c>
      <c r="CE40" s="15">
        <v>200</v>
      </c>
      <c r="CF40" s="341">
        <v>1.774358360208143</v>
      </c>
    </row>
    <row r="41" spans="1:84">
      <c r="A41" s="25" t="str">
        <f t="shared" si="14"/>
        <v>HVIL001-UHMWPE-RT-AL-S10.0-0036</v>
      </c>
      <c r="B41" s="48">
        <v>43980.572916666664</v>
      </c>
      <c r="C41" s="632"/>
      <c r="D41" s="632"/>
      <c r="E41" s="632"/>
      <c r="F41" s="50">
        <v>36</v>
      </c>
      <c r="G41" s="44" t="s">
        <v>82</v>
      </c>
      <c r="H41" s="37" t="s">
        <v>66</v>
      </c>
      <c r="I41" s="37" t="s">
        <v>87</v>
      </c>
      <c r="J41" s="37" t="s">
        <v>105</v>
      </c>
      <c r="K41" s="39">
        <v>10</v>
      </c>
      <c r="L41" s="39">
        <v>10</v>
      </c>
      <c r="M41" s="39">
        <v>1</v>
      </c>
      <c r="N41" s="31">
        <v>1.415</v>
      </c>
      <c r="O41" s="63">
        <v>3.379</v>
      </c>
      <c r="P41" s="37" t="s">
        <v>69</v>
      </c>
      <c r="Q41" s="53">
        <f>89278900/1000000</f>
        <v>89.278899999999993</v>
      </c>
      <c r="R41" s="53">
        <v>57.106121999999999</v>
      </c>
      <c r="S41" s="457">
        <f t="shared" si="18"/>
        <v>5253.377212341612</v>
      </c>
      <c r="T41" s="537">
        <v>4000</v>
      </c>
      <c r="U41" s="60">
        <v>1.7529999999999999</v>
      </c>
      <c r="V41" s="60">
        <v>110.726</v>
      </c>
      <c r="W41" s="60">
        <v>0.02</v>
      </c>
      <c r="X41" s="60">
        <v>437.74799999999999</v>
      </c>
      <c r="Y41" s="31">
        <v>200</v>
      </c>
      <c r="Z41" s="37" t="s">
        <v>71</v>
      </c>
      <c r="AA41" s="31">
        <v>160</v>
      </c>
      <c r="AB41" s="39" t="s">
        <v>83</v>
      </c>
      <c r="AC41" s="41">
        <v>0</v>
      </c>
      <c r="AD41" s="41" t="s">
        <v>73</v>
      </c>
      <c r="AE41" s="41" t="s">
        <v>108</v>
      </c>
      <c r="AF41" s="40" t="str">
        <f t="shared" si="6"/>
        <v>N/A</v>
      </c>
      <c r="AG41" s="40" t="str">
        <f t="shared" si="6"/>
        <v>N/A</v>
      </c>
      <c r="AH41" s="41" t="s">
        <v>109</v>
      </c>
      <c r="AI41" s="40" t="str">
        <f t="shared" si="7"/>
        <v>N/A</v>
      </c>
      <c r="AJ41" s="40" t="s">
        <v>73</v>
      </c>
      <c r="AK41" s="40" t="str">
        <f t="shared" si="17"/>
        <v>N/A</v>
      </c>
      <c r="AL41" s="40" t="s">
        <v>70</v>
      </c>
      <c r="AM41" s="40" t="str">
        <f t="shared" si="17"/>
        <v>N/A</v>
      </c>
      <c r="AN41" s="294">
        <v>0.57537000000000005</v>
      </c>
      <c r="AO41" s="294">
        <v>0.57186000000000003</v>
      </c>
      <c r="AP41" s="294">
        <f t="shared" si="20"/>
        <v>3.5100000000000131E-3</v>
      </c>
      <c r="AQ41" s="40" t="s">
        <v>75</v>
      </c>
      <c r="AR41" s="285">
        <v>179749</v>
      </c>
      <c r="AS41" s="28">
        <v>128</v>
      </c>
      <c r="AT41" s="28">
        <v>200</v>
      </c>
      <c r="AU41" s="34">
        <v>1000000</v>
      </c>
      <c r="AV41" s="278">
        <v>6</v>
      </c>
      <c r="AW41" s="278">
        <v>8</v>
      </c>
      <c r="AX41" s="281">
        <v>1.1000000000000001</v>
      </c>
      <c r="AY41" s="281">
        <v>0.32</v>
      </c>
      <c r="AZ41" s="61">
        <v>21.2</v>
      </c>
      <c r="BA41" s="271">
        <v>21.2</v>
      </c>
      <c r="BB41" s="31">
        <v>58</v>
      </c>
      <c r="BC41" s="42" t="s">
        <v>76</v>
      </c>
      <c r="BD41" s="29"/>
      <c r="BE41" s="30" t="str">
        <f t="shared" ref="BE41:BE72" si="21">IF(I41&lt;&gt;"",MID(I41,SEARCH("(",I41)+1,SEARCH(")",I41)-SEARCH("(",I41)-1),"")</f>
        <v>AL</v>
      </c>
      <c r="BF41" s="30" t="str">
        <f t="shared" ref="BF41:BF72" si="22">IF(AE41&lt;&gt;"",MID(AE41,SEARCH("(",AE41)+1,SEARCH(")",AE41)-SEARCH("(",AE41)-1),"")</f>
        <v>UHMWPE</v>
      </c>
      <c r="BG41" s="30" t="str">
        <f t="shared" ref="BG41:BG72" si="23">IF(AB41&lt;&gt;"",LEFT(AB41,1),"")</f>
        <v>P</v>
      </c>
      <c r="BH41" s="30" t="str">
        <f t="shared" ref="BH41:BH72" si="24">IF(H41&lt;&gt;"",LEFT(H41,1),"")</f>
        <v>M</v>
      </c>
      <c r="BI41" s="30" t="str">
        <f t="shared" ref="BI41:BI72" si="25">IF(P41&lt;&gt;"",MID(P41,SEARCH("(",P41)+1,SEARCH(")",P41)-SEARCH("(",P41)-1),"")</f>
        <v>S</v>
      </c>
      <c r="BJ41" s="13"/>
      <c r="BK41" s="49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CD41" s="15">
        <v>3106.9136845318139</v>
      </c>
      <c r="CE41" s="15">
        <v>200</v>
      </c>
      <c r="CF41" s="341">
        <v>1.7665202374943849</v>
      </c>
    </row>
    <row r="42" spans="1:84">
      <c r="A42" s="25" t="str">
        <f t="shared" si="14"/>
        <v>HVIL001-UHMWPE-RT-AL-S10.0-0037</v>
      </c>
      <c r="B42" s="48">
        <v>43984.5</v>
      </c>
      <c r="C42" s="632"/>
      <c r="D42" s="632"/>
      <c r="E42" s="632"/>
      <c r="F42" s="51">
        <v>37</v>
      </c>
      <c r="G42" s="44" t="s">
        <v>82</v>
      </c>
      <c r="H42" s="37" t="s">
        <v>66</v>
      </c>
      <c r="I42" s="37" t="s">
        <v>87</v>
      </c>
      <c r="J42" s="37" t="s">
        <v>105</v>
      </c>
      <c r="K42" s="39">
        <v>10</v>
      </c>
      <c r="L42" s="39">
        <v>10</v>
      </c>
      <c r="M42" s="39">
        <v>1</v>
      </c>
      <c r="N42" s="31">
        <v>1.4159999999999999</v>
      </c>
      <c r="O42" s="63">
        <f>3.407-0.022</f>
        <v>3.3850000000000002</v>
      </c>
      <c r="P42" s="37" t="s">
        <v>69</v>
      </c>
      <c r="Q42" s="468">
        <f>90658600/1000000</f>
        <v>90.658600000000007</v>
      </c>
      <c r="R42" s="53">
        <v>49.708654000000003</v>
      </c>
      <c r="S42" s="457">
        <f t="shared" si="18"/>
        <v>6035.1664319858664</v>
      </c>
      <c r="T42" s="537" t="s">
        <v>68</v>
      </c>
      <c r="U42" s="60">
        <v>1.7509999999999999</v>
      </c>
      <c r="V42" s="60">
        <v>150.054</v>
      </c>
      <c r="W42" s="60">
        <v>0.02</v>
      </c>
      <c r="X42" s="60">
        <v>363.77</v>
      </c>
      <c r="Y42" s="31">
        <v>200</v>
      </c>
      <c r="Z42" s="37" t="s">
        <v>71</v>
      </c>
      <c r="AA42" s="31">
        <v>200</v>
      </c>
      <c r="AB42" s="39" t="s">
        <v>83</v>
      </c>
      <c r="AC42" s="41">
        <v>0</v>
      </c>
      <c r="AD42" s="41" t="s">
        <v>73</v>
      </c>
      <c r="AE42" s="41" t="s">
        <v>108</v>
      </c>
      <c r="AF42" s="40" t="str">
        <f t="shared" si="6"/>
        <v>N/A</v>
      </c>
      <c r="AG42" s="40" t="str">
        <f t="shared" si="6"/>
        <v>N/A</v>
      </c>
      <c r="AH42" s="41" t="s">
        <v>109</v>
      </c>
      <c r="AI42" s="40" t="str">
        <f t="shared" si="7"/>
        <v>N/A</v>
      </c>
      <c r="AJ42" s="40" t="s">
        <v>73</v>
      </c>
      <c r="AK42" s="40" t="str">
        <f t="shared" si="17"/>
        <v>N/A</v>
      </c>
      <c r="AL42" s="40" t="s">
        <v>70</v>
      </c>
      <c r="AM42" s="40" t="str">
        <f t="shared" si="17"/>
        <v>N/A</v>
      </c>
      <c r="AN42" s="294">
        <v>0.57072999999999996</v>
      </c>
      <c r="AO42" s="294">
        <v>0.56569999999999998</v>
      </c>
      <c r="AP42" s="294">
        <f t="shared" si="20"/>
        <v>5.0299999999999789E-3</v>
      </c>
      <c r="AQ42" s="40" t="s">
        <v>75</v>
      </c>
      <c r="AR42" s="285">
        <v>156594</v>
      </c>
      <c r="AS42" s="28">
        <v>128</v>
      </c>
      <c r="AT42" s="28">
        <v>200</v>
      </c>
      <c r="AU42" s="34">
        <v>1000000</v>
      </c>
      <c r="AV42" s="278">
        <v>6</v>
      </c>
      <c r="AW42" s="278">
        <v>16</v>
      </c>
      <c r="AX42" s="281">
        <v>1.1000000000000001</v>
      </c>
      <c r="AY42" s="281">
        <v>0.32</v>
      </c>
      <c r="AZ42" s="61">
        <v>21.2</v>
      </c>
      <c r="BA42" s="271">
        <v>21.2</v>
      </c>
      <c r="BB42" s="31">
        <v>58</v>
      </c>
      <c r="BC42" s="42" t="s">
        <v>73</v>
      </c>
      <c r="BD42" s="29"/>
      <c r="BE42" s="30" t="str">
        <f t="shared" si="21"/>
        <v>AL</v>
      </c>
      <c r="BF42" s="30" t="str">
        <f t="shared" si="22"/>
        <v>UHMWPE</v>
      </c>
      <c r="BG42" s="30" t="str">
        <f t="shared" si="23"/>
        <v>P</v>
      </c>
      <c r="BH42" s="30" t="str">
        <f t="shared" si="24"/>
        <v>M</v>
      </c>
      <c r="BI42" s="30" t="str">
        <f t="shared" si="25"/>
        <v>S</v>
      </c>
      <c r="BJ42" s="13"/>
      <c r="BK42" s="49" t="s">
        <v>127</v>
      </c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CD42" s="15">
        <v>3233.7638055035945</v>
      </c>
      <c r="CE42" s="15">
        <v>200</v>
      </c>
      <c r="CF42" s="341">
        <v>1.9030900894290821</v>
      </c>
    </row>
    <row r="43" spans="1:84">
      <c r="A43" s="25" t="str">
        <f t="shared" si="14"/>
        <v>HVIL001-UHMWPE-RT-AL-S10.0-0038</v>
      </c>
      <c r="B43" s="48">
        <v>43984.583333333336</v>
      </c>
      <c r="C43" s="632"/>
      <c r="D43" s="632"/>
      <c r="E43" s="632"/>
      <c r="F43" s="50">
        <v>38</v>
      </c>
      <c r="G43" s="44" t="s">
        <v>82</v>
      </c>
      <c r="H43" s="37" t="s">
        <v>66</v>
      </c>
      <c r="I43" s="37" t="s">
        <v>87</v>
      </c>
      <c r="J43" s="37" t="s">
        <v>105</v>
      </c>
      <c r="K43" s="39">
        <v>10</v>
      </c>
      <c r="L43" s="39">
        <v>10</v>
      </c>
      <c r="M43" s="39">
        <v>1</v>
      </c>
      <c r="N43" s="31">
        <v>1.4159999999999999</v>
      </c>
      <c r="O43" s="63">
        <f>3.398-0.019</f>
        <v>3.379</v>
      </c>
      <c r="P43" s="37" t="s">
        <v>69</v>
      </c>
      <c r="Q43" s="53">
        <f>91308900/1000000</f>
        <v>91.308899999999994</v>
      </c>
      <c r="R43" s="53">
        <v>53.454853999999997</v>
      </c>
      <c r="S43" s="457">
        <f t="shared" si="18"/>
        <v>5612.21250365776</v>
      </c>
      <c r="T43" s="537">
        <v>4500</v>
      </c>
      <c r="U43" s="60">
        <v>1.7529999999999999</v>
      </c>
      <c r="V43" s="60">
        <v>150.08099999999999</v>
      </c>
      <c r="W43" s="60">
        <v>0.02</v>
      </c>
      <c r="X43" s="60">
        <v>366.62099999999998</v>
      </c>
      <c r="Y43" s="31">
        <v>250</v>
      </c>
      <c r="Z43" s="37" t="s">
        <v>71</v>
      </c>
      <c r="AA43" s="31">
        <v>220</v>
      </c>
      <c r="AB43" s="39" t="s">
        <v>83</v>
      </c>
      <c r="AC43" s="41">
        <v>0</v>
      </c>
      <c r="AD43" s="41" t="s">
        <v>73</v>
      </c>
      <c r="AE43" s="41" t="s">
        <v>108</v>
      </c>
      <c r="AF43" s="40" t="str">
        <f t="shared" si="6"/>
        <v>N/A</v>
      </c>
      <c r="AG43" s="40" t="str">
        <f t="shared" si="6"/>
        <v>N/A</v>
      </c>
      <c r="AH43" s="41" t="s">
        <v>109</v>
      </c>
      <c r="AI43" s="40" t="str">
        <f t="shared" si="7"/>
        <v>N/A</v>
      </c>
      <c r="AJ43" s="40" t="s">
        <v>73</v>
      </c>
      <c r="AK43" s="40" t="str">
        <f t="shared" si="17"/>
        <v>N/A</v>
      </c>
      <c r="AL43" s="40" t="s">
        <v>70</v>
      </c>
      <c r="AM43" s="40" t="str">
        <f t="shared" si="17"/>
        <v>N/A</v>
      </c>
      <c r="AN43" s="294">
        <v>0.57652999999999999</v>
      </c>
      <c r="AO43" s="294">
        <v>0.57311999999999996</v>
      </c>
      <c r="AP43" s="294">
        <f t="shared" si="20"/>
        <v>3.4100000000000241E-3</v>
      </c>
      <c r="AQ43" s="40" t="s">
        <v>75</v>
      </c>
      <c r="AR43" s="285">
        <v>168220</v>
      </c>
      <c r="AS43" s="28">
        <v>128</v>
      </c>
      <c r="AT43" s="28">
        <v>200</v>
      </c>
      <c r="AU43" s="34">
        <v>1000000</v>
      </c>
      <c r="AV43" s="278">
        <v>6</v>
      </c>
      <c r="AW43" s="278">
        <v>16</v>
      </c>
      <c r="AX43" s="281">
        <v>1.1000000000000001</v>
      </c>
      <c r="AY43" s="281">
        <v>0.32</v>
      </c>
      <c r="AZ43" s="61">
        <v>21.2</v>
      </c>
      <c r="BA43" s="271">
        <v>21.2</v>
      </c>
      <c r="BB43" s="31">
        <v>58</v>
      </c>
      <c r="BC43" s="42" t="s">
        <v>76</v>
      </c>
      <c r="BD43" s="29"/>
      <c r="BE43" s="30" t="str">
        <f t="shared" si="21"/>
        <v>AL</v>
      </c>
      <c r="BF43" s="30" t="str">
        <f t="shared" si="22"/>
        <v>UHMWPE</v>
      </c>
      <c r="BG43" s="30" t="str">
        <f t="shared" si="23"/>
        <v>P</v>
      </c>
      <c r="BH43" s="30" t="str">
        <f t="shared" si="24"/>
        <v>M</v>
      </c>
      <c r="BI43" s="30" t="str">
        <f t="shared" si="25"/>
        <v>S</v>
      </c>
      <c r="BJ43" s="13"/>
      <c r="BK43" s="49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CD43" s="15">
        <v>3496.4900892163246</v>
      </c>
      <c r="CE43" s="15">
        <v>110</v>
      </c>
      <c r="CF43" s="341">
        <v>1.508114339630517</v>
      </c>
    </row>
    <row r="44" spans="1:84">
      <c r="A44" s="25" t="str">
        <f t="shared" si="14"/>
        <v>HVIL001-UHMWPE-RT-AL-S10.0-0039</v>
      </c>
      <c r="B44" s="48">
        <v>43984.666666666664</v>
      </c>
      <c r="C44" s="632"/>
      <c r="D44" s="632"/>
      <c r="E44" s="632"/>
      <c r="F44" s="50">
        <v>39</v>
      </c>
      <c r="G44" s="44" t="s">
        <v>82</v>
      </c>
      <c r="H44" s="37" t="s">
        <v>66</v>
      </c>
      <c r="I44" s="37" t="s">
        <v>87</v>
      </c>
      <c r="J44" s="37" t="s">
        <v>105</v>
      </c>
      <c r="K44" s="39">
        <v>10</v>
      </c>
      <c r="L44" s="39">
        <v>10</v>
      </c>
      <c r="M44" s="39">
        <v>1</v>
      </c>
      <c r="N44" s="31">
        <v>1.4179999999999999</v>
      </c>
      <c r="O44" s="63">
        <f>3.393-0.014</f>
        <v>3.379</v>
      </c>
      <c r="P44" s="37" t="s">
        <v>69</v>
      </c>
      <c r="Q44" s="53">
        <f>89844800/1000000</f>
        <v>89.844800000000006</v>
      </c>
      <c r="R44" s="53">
        <v>55.775623000000003</v>
      </c>
      <c r="S44" s="457">
        <f t="shared" si="18"/>
        <v>5378.6938426487859</v>
      </c>
      <c r="T44" s="537" t="s">
        <v>68</v>
      </c>
      <c r="U44" s="60">
        <v>1.7529999999999999</v>
      </c>
      <c r="V44" s="60">
        <v>150.483</v>
      </c>
      <c r="W44" s="60">
        <v>0.02</v>
      </c>
      <c r="X44" s="60">
        <v>365.678</v>
      </c>
      <c r="Y44" s="31">
        <v>250</v>
      </c>
      <c r="Z44" s="37" t="s">
        <v>71</v>
      </c>
      <c r="AA44" s="31">
        <v>200</v>
      </c>
      <c r="AB44" s="39" t="s">
        <v>83</v>
      </c>
      <c r="AC44" s="41">
        <v>0</v>
      </c>
      <c r="AD44" s="41" t="s">
        <v>73</v>
      </c>
      <c r="AE44" s="41" t="s">
        <v>108</v>
      </c>
      <c r="AF44" s="40" t="str">
        <f t="shared" si="6"/>
        <v>N/A</v>
      </c>
      <c r="AG44" s="40" t="str">
        <f t="shared" si="6"/>
        <v>N/A</v>
      </c>
      <c r="AH44" s="41" t="s">
        <v>109</v>
      </c>
      <c r="AI44" s="40" t="str">
        <f t="shared" si="7"/>
        <v>N/A</v>
      </c>
      <c r="AJ44" s="40" t="s">
        <v>73</v>
      </c>
      <c r="AK44" s="40" t="str">
        <f t="shared" si="17"/>
        <v>N/A</v>
      </c>
      <c r="AL44" s="40" t="s">
        <v>70</v>
      </c>
      <c r="AM44" s="40" t="str">
        <f t="shared" si="17"/>
        <v>N/A</v>
      </c>
      <c r="AN44" s="294">
        <v>0.56481999999999999</v>
      </c>
      <c r="AO44" s="294" t="s">
        <v>68</v>
      </c>
      <c r="AP44" s="294" t="s">
        <v>68</v>
      </c>
      <c r="AQ44" s="40" t="s">
        <v>75</v>
      </c>
      <c r="AR44" s="285">
        <v>175558</v>
      </c>
      <c r="AS44" s="28">
        <v>128</v>
      </c>
      <c r="AT44" s="28">
        <v>200</v>
      </c>
      <c r="AU44" s="34">
        <v>1000000</v>
      </c>
      <c r="AV44" s="278">
        <v>6</v>
      </c>
      <c r="AW44" s="278">
        <v>16</v>
      </c>
      <c r="AX44" s="281">
        <v>1.1000000000000001</v>
      </c>
      <c r="AY44" s="281">
        <v>0.32</v>
      </c>
      <c r="AZ44" s="61">
        <v>21.2</v>
      </c>
      <c r="BA44" s="271">
        <v>21.2</v>
      </c>
      <c r="BB44" s="31">
        <v>58</v>
      </c>
      <c r="BC44" s="42" t="s">
        <v>73</v>
      </c>
      <c r="BD44" s="29"/>
      <c r="BE44" s="30" t="str">
        <f t="shared" si="21"/>
        <v>AL</v>
      </c>
      <c r="BF44" s="30" t="str">
        <f t="shared" si="22"/>
        <v>UHMWPE</v>
      </c>
      <c r="BG44" s="30" t="str">
        <f t="shared" si="23"/>
        <v>P</v>
      </c>
      <c r="BH44" s="30" t="str">
        <f t="shared" si="24"/>
        <v>M</v>
      </c>
      <c r="BI44" s="30" t="str">
        <f t="shared" si="25"/>
        <v>S</v>
      </c>
      <c r="BJ44" s="13"/>
      <c r="BK44" s="49" t="s">
        <v>103</v>
      </c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CD44" s="15">
        <v>3807.2950310992551</v>
      </c>
      <c r="CE44" s="15">
        <v>110</v>
      </c>
      <c r="CF44" s="341">
        <v>1.610289218455726</v>
      </c>
    </row>
    <row r="45" spans="1:84">
      <c r="A45" s="25" t="str">
        <f t="shared" si="14"/>
        <v>HVIL001-HDPE-RT-ST-S10.0-0040</v>
      </c>
      <c r="B45" s="48">
        <v>1358856.4520833334</v>
      </c>
      <c r="C45" s="632"/>
      <c r="D45" s="632"/>
      <c r="E45" s="632"/>
      <c r="F45" s="51">
        <v>40</v>
      </c>
      <c r="G45" s="44" t="s">
        <v>82</v>
      </c>
      <c r="H45" s="37" t="s">
        <v>66</v>
      </c>
      <c r="I45" s="37" t="s">
        <v>120</v>
      </c>
      <c r="J45" s="37" t="s">
        <v>121</v>
      </c>
      <c r="K45" s="39">
        <v>10</v>
      </c>
      <c r="L45" s="39">
        <v>10</v>
      </c>
      <c r="M45" s="39">
        <v>1</v>
      </c>
      <c r="N45" s="31">
        <v>4.09</v>
      </c>
      <c r="O45" s="63">
        <f>6.079-0.02</f>
        <v>6.0590000000000002</v>
      </c>
      <c r="P45" s="37" t="s">
        <v>69</v>
      </c>
      <c r="Q45" s="53">
        <f>143893000/1000000</f>
        <v>143.893</v>
      </c>
      <c r="R45" s="53">
        <v>71.170974999999999</v>
      </c>
      <c r="S45" s="457">
        <f t="shared" si="18"/>
        <v>4215.201491900315</v>
      </c>
      <c r="T45" s="537" t="s">
        <v>68</v>
      </c>
      <c r="U45" s="60">
        <v>1.7509999999999999</v>
      </c>
      <c r="V45" s="60">
        <v>100.372</v>
      </c>
      <c r="W45" s="60">
        <v>0.02</v>
      </c>
      <c r="X45" s="60">
        <v>761.72</v>
      </c>
      <c r="Y45" s="31">
        <v>250</v>
      </c>
      <c r="Z45" s="37" t="s">
        <v>71</v>
      </c>
      <c r="AA45" s="31">
        <v>200</v>
      </c>
      <c r="AB45" s="39" t="s">
        <v>83</v>
      </c>
      <c r="AC45" s="41">
        <v>0</v>
      </c>
      <c r="AD45" s="41" t="s">
        <v>73</v>
      </c>
      <c r="AE45" s="41" t="s">
        <v>100</v>
      </c>
      <c r="AF45" s="40" t="str">
        <f t="shared" si="6"/>
        <v>N/A</v>
      </c>
      <c r="AG45" s="40" t="str">
        <f t="shared" si="6"/>
        <v>N/A</v>
      </c>
      <c r="AH45" s="41" t="s">
        <v>102</v>
      </c>
      <c r="AI45" s="40" t="str">
        <f t="shared" si="7"/>
        <v>N/A</v>
      </c>
      <c r="AJ45" s="40" t="s">
        <v>73</v>
      </c>
      <c r="AK45" s="40" t="str">
        <f t="shared" si="17"/>
        <v>N/A</v>
      </c>
      <c r="AL45" s="40" t="s">
        <v>70</v>
      </c>
      <c r="AM45" s="40" t="str">
        <f t="shared" si="17"/>
        <v>N/A</v>
      </c>
      <c r="AN45" s="294">
        <v>0.56128999999999996</v>
      </c>
      <c r="AO45" s="294">
        <v>0.55976999999999999</v>
      </c>
      <c r="AP45" s="294">
        <f t="shared" si="20"/>
        <v>1.5199999999999658E-3</v>
      </c>
      <c r="AQ45" s="40" t="s">
        <v>75</v>
      </c>
      <c r="AR45" s="285">
        <v>223933</v>
      </c>
      <c r="AS45" s="28">
        <v>128</v>
      </c>
      <c r="AT45" s="28">
        <v>200</v>
      </c>
      <c r="AU45" s="34">
        <v>1000000</v>
      </c>
      <c r="AV45" s="278">
        <v>6</v>
      </c>
      <c r="AW45" s="278">
        <v>16</v>
      </c>
      <c r="AX45" s="281">
        <v>1.1000000000000001</v>
      </c>
      <c r="AY45" s="281">
        <v>0.32</v>
      </c>
      <c r="AZ45" s="61">
        <v>21.2</v>
      </c>
      <c r="BA45" s="271">
        <v>21.2</v>
      </c>
      <c r="BB45" s="31">
        <v>59</v>
      </c>
      <c r="BC45" s="42" t="s">
        <v>76</v>
      </c>
      <c r="BD45" s="29"/>
      <c r="BE45" s="30" t="str">
        <f t="shared" si="21"/>
        <v>ST</v>
      </c>
      <c r="BF45" s="30" t="str">
        <f t="shared" si="22"/>
        <v>HDPE</v>
      </c>
      <c r="BG45" s="30" t="str">
        <f t="shared" si="23"/>
        <v>P</v>
      </c>
      <c r="BH45" s="30" t="str">
        <f t="shared" si="24"/>
        <v>M</v>
      </c>
      <c r="BI45" s="30" t="str">
        <f t="shared" si="25"/>
        <v>S</v>
      </c>
      <c r="BJ45" s="13"/>
      <c r="BK45" s="49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CD45" s="15">
        <v>3896.5</v>
      </c>
      <c r="CE45" s="15">
        <v>100</v>
      </c>
      <c r="CF45" s="341">
        <v>1.6299645380333061</v>
      </c>
    </row>
    <row r="46" spans="1:84">
      <c r="A46" s="25" t="str">
        <f t="shared" si="14"/>
        <v>HVIL001-HDPE-RT-AL-S10.0-0041</v>
      </c>
      <c r="B46" s="48">
        <v>44006.645833333336</v>
      </c>
      <c r="C46" s="632"/>
      <c r="D46" s="632"/>
      <c r="E46" s="632"/>
      <c r="F46" s="50">
        <v>41</v>
      </c>
      <c r="G46" s="44" t="s">
        <v>82</v>
      </c>
      <c r="H46" s="37" t="s">
        <v>66</v>
      </c>
      <c r="I46" s="37" t="s">
        <v>87</v>
      </c>
      <c r="J46" s="37" t="s">
        <v>105</v>
      </c>
      <c r="K46" s="39">
        <v>10</v>
      </c>
      <c r="L46" s="39">
        <v>10</v>
      </c>
      <c r="M46" s="39">
        <v>1</v>
      </c>
      <c r="N46" s="31">
        <v>1.415</v>
      </c>
      <c r="O46" s="63">
        <v>3.387</v>
      </c>
      <c r="P46" s="37" t="s">
        <v>69</v>
      </c>
      <c r="Q46" s="472">
        <f>109730000/1000000</f>
        <v>109.73</v>
      </c>
      <c r="R46" s="53">
        <v>86.015915000000007</v>
      </c>
      <c r="S46" s="457">
        <f t="shared" si="18"/>
        <v>3487.726660816199</v>
      </c>
      <c r="T46" s="537" t="s">
        <v>68</v>
      </c>
      <c r="U46" s="60">
        <v>1.7529999999999999</v>
      </c>
      <c r="V46" s="60">
        <v>100.002</v>
      </c>
      <c r="W46" s="60">
        <v>0.02</v>
      </c>
      <c r="X46" s="60">
        <v>366.22899999999998</v>
      </c>
      <c r="Y46" s="31">
        <v>200</v>
      </c>
      <c r="Z46" s="37" t="s">
        <v>71</v>
      </c>
      <c r="AA46" s="31">
        <v>279</v>
      </c>
      <c r="AB46" s="39" t="s">
        <v>83</v>
      </c>
      <c r="AC46" s="41">
        <v>0</v>
      </c>
      <c r="AD46" s="41" t="s">
        <v>73</v>
      </c>
      <c r="AE46" s="41" t="s">
        <v>100</v>
      </c>
      <c r="AF46" s="40" t="str">
        <f t="shared" si="6"/>
        <v>N/A</v>
      </c>
      <c r="AG46" s="40" t="str">
        <f t="shared" si="6"/>
        <v>N/A</v>
      </c>
      <c r="AH46" s="41" t="s">
        <v>102</v>
      </c>
      <c r="AI46" s="40" t="str">
        <f t="shared" si="7"/>
        <v>N/A</v>
      </c>
      <c r="AJ46" s="40" t="s">
        <v>73</v>
      </c>
      <c r="AK46" s="40" t="str">
        <f t="shared" si="17"/>
        <v>N/A</v>
      </c>
      <c r="AL46" s="40" t="s">
        <v>70</v>
      </c>
      <c r="AM46" s="40" t="str">
        <f t="shared" si="17"/>
        <v>N/A</v>
      </c>
      <c r="AN46" s="294">
        <v>0.55896000000000001</v>
      </c>
      <c r="AO46" s="294">
        <v>0.55740000000000001</v>
      </c>
      <c r="AP46" s="294">
        <f t="shared" si="20"/>
        <v>1.5600000000000058E-3</v>
      </c>
      <c r="AQ46" s="40" t="s">
        <v>75</v>
      </c>
      <c r="AR46" s="285">
        <v>270754</v>
      </c>
      <c r="AS46" s="28">
        <v>128</v>
      </c>
      <c r="AT46" s="28">
        <v>200</v>
      </c>
      <c r="AU46" s="34">
        <v>1000000</v>
      </c>
      <c r="AV46" s="278">
        <v>6</v>
      </c>
      <c r="AW46" s="278">
        <v>16</v>
      </c>
      <c r="AX46" s="281">
        <v>1.1000000000000001</v>
      </c>
      <c r="AY46" s="281">
        <v>0.32</v>
      </c>
      <c r="AZ46" s="61">
        <v>21.2</v>
      </c>
      <c r="BA46" s="271">
        <v>21.2</v>
      </c>
      <c r="BB46" s="31">
        <v>57</v>
      </c>
      <c r="BC46" s="42" t="s">
        <v>76</v>
      </c>
      <c r="BD46" s="29"/>
      <c r="BE46" s="30" t="str">
        <f t="shared" si="21"/>
        <v>AL</v>
      </c>
      <c r="BF46" s="30" t="str">
        <f t="shared" si="22"/>
        <v>HDPE</v>
      </c>
      <c r="BG46" s="30" t="str">
        <f t="shared" si="23"/>
        <v>P</v>
      </c>
      <c r="BH46" s="30" t="str">
        <f t="shared" si="24"/>
        <v>M</v>
      </c>
      <c r="BI46" s="30" t="str">
        <f t="shared" si="25"/>
        <v>S</v>
      </c>
      <c r="BJ46" s="13"/>
      <c r="BK46" s="49" t="s">
        <v>128</v>
      </c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CD46" s="15">
        <v>4054.4767058555262</v>
      </c>
      <c r="CE46" s="15">
        <v>100</v>
      </c>
      <c r="CF46" s="341">
        <v>1.353127799905983</v>
      </c>
    </row>
    <row r="47" spans="1:84">
      <c r="A47" s="25" t="str">
        <f t="shared" si="14"/>
        <v>HVIL002-HPC-RT-S2-S10.0-0042</v>
      </c>
      <c r="B47" s="48">
        <v>44015.479166666664</v>
      </c>
      <c r="C47" s="632"/>
      <c r="D47" s="632"/>
      <c r="E47" s="632"/>
      <c r="F47" s="50">
        <v>42</v>
      </c>
      <c r="G47" s="44" t="s">
        <v>129</v>
      </c>
      <c r="H47" s="37" t="s">
        <v>66</v>
      </c>
      <c r="I47" s="37" t="s">
        <v>130</v>
      </c>
      <c r="J47" s="37" t="s">
        <v>131</v>
      </c>
      <c r="K47" s="39">
        <v>10</v>
      </c>
      <c r="L47" s="39">
        <v>10</v>
      </c>
      <c r="M47" s="39">
        <v>1</v>
      </c>
      <c r="N47" s="31">
        <v>4.0620000000000003</v>
      </c>
      <c r="O47" s="63">
        <f>6.046-0.017</f>
        <v>6.0289999999999999</v>
      </c>
      <c r="P47" s="37" t="s">
        <v>69</v>
      </c>
      <c r="Q47" s="53">
        <f>87867800/1000000</f>
        <v>87.867800000000003</v>
      </c>
      <c r="R47" s="53">
        <v>69.385147000000003</v>
      </c>
      <c r="S47" s="457">
        <f t="shared" si="18"/>
        <v>4323.6919278992091</v>
      </c>
      <c r="T47" s="537" t="s">
        <v>68</v>
      </c>
      <c r="U47" s="60">
        <v>1.7549999999999999</v>
      </c>
      <c r="V47" s="60">
        <v>100.03100000000001</v>
      </c>
      <c r="W47" s="60">
        <v>0.02</v>
      </c>
      <c r="X47" s="60">
        <v>767.16</v>
      </c>
      <c r="Y47" s="31">
        <v>200</v>
      </c>
      <c r="Z47" s="37" t="s">
        <v>71</v>
      </c>
      <c r="AA47" s="31">
        <v>200</v>
      </c>
      <c r="AB47" s="39" t="s">
        <v>132</v>
      </c>
      <c r="AC47" s="41">
        <v>0</v>
      </c>
      <c r="AD47" s="41" t="s">
        <v>73</v>
      </c>
      <c r="AE47" s="41" t="s">
        <v>133</v>
      </c>
      <c r="AF47" s="40" t="str">
        <f t="shared" si="6"/>
        <v>N/A</v>
      </c>
      <c r="AG47" s="40" t="str">
        <f t="shared" si="6"/>
        <v>N/A</v>
      </c>
      <c r="AH47" s="41" t="s">
        <v>134</v>
      </c>
      <c r="AI47" s="40" t="str">
        <f t="shared" si="7"/>
        <v>N/A</v>
      </c>
      <c r="AJ47" s="40" t="s">
        <v>73</v>
      </c>
      <c r="AK47" s="40" t="s">
        <v>70</v>
      </c>
      <c r="AL47" s="40" t="s">
        <v>70</v>
      </c>
      <c r="AM47" s="40" t="str">
        <f t="shared" si="17"/>
        <v>N/A</v>
      </c>
      <c r="AN47" s="294">
        <v>17.856000000000002</v>
      </c>
      <c r="AO47" s="294" t="s">
        <v>68</v>
      </c>
      <c r="AP47" s="294" t="s">
        <v>68</v>
      </c>
      <c r="AQ47" s="40" t="s">
        <v>75</v>
      </c>
      <c r="AR47" s="285">
        <v>249439</v>
      </c>
      <c r="AS47" s="28">
        <v>128</v>
      </c>
      <c r="AT47" s="28">
        <v>200</v>
      </c>
      <c r="AU47" s="34">
        <v>1000000</v>
      </c>
      <c r="AV47" s="278">
        <v>6</v>
      </c>
      <c r="AW47" s="278">
        <v>16</v>
      </c>
      <c r="AX47" s="281">
        <v>1.1000000000000001</v>
      </c>
      <c r="AY47" s="281">
        <v>0.32</v>
      </c>
      <c r="AZ47" s="61">
        <v>21.3</v>
      </c>
      <c r="BA47" s="271">
        <v>21.3</v>
      </c>
      <c r="BB47" s="31">
        <v>57</v>
      </c>
      <c r="BC47" s="42" t="s">
        <v>76</v>
      </c>
      <c r="BD47" s="29"/>
      <c r="BE47" s="30" t="str">
        <f t="shared" si="21"/>
        <v>S2</v>
      </c>
      <c r="BF47" s="30" t="str">
        <f t="shared" si="22"/>
        <v>HPC</v>
      </c>
      <c r="BG47" s="30" t="str">
        <f t="shared" si="23"/>
        <v>C</v>
      </c>
      <c r="BH47" s="30" t="str">
        <f t="shared" si="24"/>
        <v>M</v>
      </c>
      <c r="BI47" s="30" t="str">
        <f t="shared" si="25"/>
        <v>S</v>
      </c>
      <c r="BJ47" s="13"/>
      <c r="BK47" s="49" t="s">
        <v>135</v>
      </c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CD47" s="15">
        <v>4500</v>
      </c>
      <c r="CE47" s="15">
        <v>100</v>
      </c>
    </row>
    <row r="48" spans="1:84">
      <c r="A48" s="25" t="str">
        <f t="shared" si="14"/>
        <v>HVIL002-HPC-RT-S2-S10.0-0043</v>
      </c>
      <c r="B48" s="48">
        <v>44033.64166666667</v>
      </c>
      <c r="C48" s="632"/>
      <c r="D48" s="632"/>
      <c r="E48" s="632"/>
      <c r="F48" s="51">
        <v>43</v>
      </c>
      <c r="G48" s="44" t="s">
        <v>129</v>
      </c>
      <c r="H48" s="37" t="s">
        <v>66</v>
      </c>
      <c r="I48" s="37" t="s">
        <v>130</v>
      </c>
      <c r="J48" s="37" t="s">
        <v>131</v>
      </c>
      <c r="K48" s="39">
        <v>10</v>
      </c>
      <c r="L48" s="39">
        <v>10</v>
      </c>
      <c r="M48" s="39">
        <v>1</v>
      </c>
      <c r="N48" s="31">
        <v>4.0750000000000002</v>
      </c>
      <c r="O48" s="63">
        <v>6.0549999999999997</v>
      </c>
      <c r="P48" s="37" t="s">
        <v>69</v>
      </c>
      <c r="Q48" s="53">
        <f>84042200/1000000</f>
        <v>84.042199999999994</v>
      </c>
      <c r="R48" s="53">
        <v>67.987872999999993</v>
      </c>
      <c r="S48" s="457">
        <f t="shared" si="18"/>
        <v>4412.5516325536473</v>
      </c>
      <c r="T48" s="537" t="s">
        <v>68</v>
      </c>
      <c r="U48" s="60">
        <v>1.7509999999999999</v>
      </c>
      <c r="V48" s="60">
        <v>100.82299999999999</v>
      </c>
      <c r="W48" s="60">
        <v>0.02</v>
      </c>
      <c r="X48" s="60">
        <v>763.72</v>
      </c>
      <c r="Y48" s="31">
        <v>200</v>
      </c>
      <c r="Z48" s="37" t="s">
        <v>71</v>
      </c>
      <c r="AA48" s="31">
        <v>200</v>
      </c>
      <c r="AB48" s="39" t="s">
        <v>132</v>
      </c>
      <c r="AC48" s="41">
        <v>0</v>
      </c>
      <c r="AD48" s="41" t="s">
        <v>73</v>
      </c>
      <c r="AE48" s="41" t="s">
        <v>133</v>
      </c>
      <c r="AF48" s="40" t="str">
        <f t="shared" si="6"/>
        <v>N/A</v>
      </c>
      <c r="AG48" s="40" t="str">
        <f t="shared" si="6"/>
        <v>N/A</v>
      </c>
      <c r="AH48" s="41" t="s">
        <v>134</v>
      </c>
      <c r="AI48" s="40" t="str">
        <f t="shared" si="7"/>
        <v>N/A</v>
      </c>
      <c r="AJ48" s="40" t="s">
        <v>73</v>
      </c>
      <c r="AK48" s="40" t="str">
        <f t="shared" si="17"/>
        <v>N/A</v>
      </c>
      <c r="AL48" s="40" t="s">
        <v>70</v>
      </c>
      <c r="AM48" s="40" t="str">
        <f t="shared" si="17"/>
        <v>N/A</v>
      </c>
      <c r="AN48" s="294">
        <v>18.385999999999999</v>
      </c>
      <c r="AO48" s="294" t="s">
        <v>68</v>
      </c>
      <c r="AP48" s="294" t="s">
        <v>68</v>
      </c>
      <c r="AQ48" s="40" t="s">
        <v>75</v>
      </c>
      <c r="AR48" s="285">
        <v>246841</v>
      </c>
      <c r="AS48" s="28">
        <v>128</v>
      </c>
      <c r="AT48" s="28">
        <v>200</v>
      </c>
      <c r="AU48" s="34">
        <v>1000000</v>
      </c>
      <c r="AV48" s="278">
        <v>6</v>
      </c>
      <c r="AW48" s="278">
        <v>16</v>
      </c>
      <c r="AX48" s="281">
        <v>1.1000000000000001</v>
      </c>
      <c r="AY48" s="281">
        <v>0.32</v>
      </c>
      <c r="AZ48" s="61">
        <v>21.9</v>
      </c>
      <c r="BA48" s="271">
        <v>21.9</v>
      </c>
      <c r="BB48" s="31">
        <v>57</v>
      </c>
      <c r="BC48" s="42" t="s">
        <v>76</v>
      </c>
      <c r="BD48" s="29"/>
      <c r="BE48" s="30" t="str">
        <f t="shared" si="21"/>
        <v>S2</v>
      </c>
      <c r="BF48" s="30" t="str">
        <f t="shared" si="22"/>
        <v>HPC</v>
      </c>
      <c r="BG48" s="30" t="str">
        <f t="shared" si="23"/>
        <v>C</v>
      </c>
      <c r="BH48" s="30" t="str">
        <f t="shared" si="24"/>
        <v>M</v>
      </c>
      <c r="BI48" s="30" t="str">
        <f t="shared" si="25"/>
        <v>S</v>
      </c>
      <c r="BJ48" s="13"/>
      <c r="BK48" s="49" t="s">
        <v>136</v>
      </c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CD48" s="15">
        <v>5300</v>
      </c>
      <c r="CE48" s="15">
        <v>100</v>
      </c>
    </row>
    <row r="49" spans="1:84">
      <c r="A49" s="25" t="str">
        <f t="shared" si="14"/>
        <v>HVIL003-PMMA-RT-AL-S04.0-0044</v>
      </c>
      <c r="B49" s="48">
        <v>44035.489583333336</v>
      </c>
      <c r="C49" s="632"/>
      <c r="D49" s="632"/>
      <c r="E49" s="632"/>
      <c r="F49" s="50">
        <v>44</v>
      </c>
      <c r="G49" s="44" t="s">
        <v>137</v>
      </c>
      <c r="H49" s="37" t="s">
        <v>66</v>
      </c>
      <c r="I49" s="37" t="s">
        <v>87</v>
      </c>
      <c r="J49" s="37" t="s">
        <v>138</v>
      </c>
      <c r="K49" s="39">
        <v>4</v>
      </c>
      <c r="L49" s="39">
        <v>4</v>
      </c>
      <c r="M49" s="39">
        <v>1</v>
      </c>
      <c r="N49" s="31">
        <v>9.4E-2</v>
      </c>
      <c r="O49" s="63">
        <v>2.1629999999999998</v>
      </c>
      <c r="P49" s="37" t="s">
        <v>69</v>
      </c>
      <c r="Q49" s="53">
        <f>83114100/1000000</f>
        <v>83.114099999999993</v>
      </c>
      <c r="R49" s="53">
        <v>50.450395999999998</v>
      </c>
      <c r="S49" s="457">
        <f t="shared" si="18"/>
        <v>5946.4349893309063</v>
      </c>
      <c r="T49" s="537" t="s">
        <v>68</v>
      </c>
      <c r="U49" s="60">
        <v>1.7569999999999999</v>
      </c>
      <c r="V49" s="60">
        <v>119.961</v>
      </c>
      <c r="W49" s="60">
        <v>0.02</v>
      </c>
      <c r="X49" s="60">
        <v>363.14</v>
      </c>
      <c r="Y49" s="31">
        <v>200</v>
      </c>
      <c r="Z49" s="37" t="s">
        <v>71</v>
      </c>
      <c r="AA49" s="31">
        <v>174</v>
      </c>
      <c r="AB49" s="39" t="s">
        <v>83</v>
      </c>
      <c r="AC49" s="41">
        <v>0</v>
      </c>
      <c r="AD49" s="41" t="s">
        <v>73</v>
      </c>
      <c r="AE49" s="41" t="s">
        <v>139</v>
      </c>
      <c r="AF49" s="40" t="str">
        <f t="shared" si="6"/>
        <v>N/A</v>
      </c>
      <c r="AG49" s="40" t="str">
        <f t="shared" si="6"/>
        <v>N/A</v>
      </c>
      <c r="AH49" s="41" t="s">
        <v>140</v>
      </c>
      <c r="AI49" s="40" t="str">
        <f t="shared" si="7"/>
        <v>N/A</v>
      </c>
      <c r="AJ49" s="40" t="s">
        <v>73</v>
      </c>
      <c r="AK49" s="40" t="str">
        <f t="shared" si="17"/>
        <v>N/A</v>
      </c>
      <c r="AL49" s="40" t="s">
        <v>70</v>
      </c>
      <c r="AM49" s="40" t="str">
        <f t="shared" si="17"/>
        <v>N/A</v>
      </c>
      <c r="AN49" s="473">
        <v>0.17883499999999999</v>
      </c>
      <c r="AO49" s="473">
        <v>0.17868500000000001</v>
      </c>
      <c r="AP49" s="294">
        <f>AN49-AO49</f>
        <v>1.4999999999998348E-4</v>
      </c>
      <c r="AQ49" s="40" t="s">
        <v>75</v>
      </c>
      <c r="AR49" s="285">
        <v>183073</v>
      </c>
      <c r="AS49" s="28">
        <v>128</v>
      </c>
      <c r="AT49" s="28">
        <v>200</v>
      </c>
      <c r="AU49" s="34">
        <v>1000000</v>
      </c>
      <c r="AV49" s="278">
        <v>6</v>
      </c>
      <c r="AW49" s="278">
        <v>5.6</v>
      </c>
      <c r="AX49" s="281">
        <v>1.1000000000000001</v>
      </c>
      <c r="AY49" s="281">
        <v>0.31</v>
      </c>
      <c r="AZ49" s="61">
        <v>21.8</v>
      </c>
      <c r="BA49" s="271">
        <v>21.8</v>
      </c>
      <c r="BB49" s="31">
        <v>57</v>
      </c>
      <c r="BC49" s="42" t="s">
        <v>76</v>
      </c>
      <c r="BD49" s="29"/>
      <c r="BE49" s="30" t="str">
        <f t="shared" si="21"/>
        <v>AL</v>
      </c>
      <c r="BF49" s="30" t="str">
        <f t="shared" si="22"/>
        <v>PMMA</v>
      </c>
      <c r="BG49" s="30" t="str">
        <f t="shared" si="23"/>
        <v>P</v>
      </c>
      <c r="BH49" s="30" t="str">
        <f t="shared" si="24"/>
        <v>M</v>
      </c>
      <c r="BI49" s="30" t="str">
        <f t="shared" si="25"/>
        <v>S</v>
      </c>
      <c r="BJ49" s="13"/>
      <c r="BK49" s="49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CD49" s="15">
        <v>5933.1</v>
      </c>
      <c r="CE49" s="15">
        <v>80</v>
      </c>
      <c r="CF49" s="341">
        <v>1.5314084755892481</v>
      </c>
    </row>
    <row r="50" spans="1:84">
      <c r="A50" s="25" t="str">
        <f t="shared" si="14"/>
        <v>HVIL003-PMMA-RT-AL-S04.0-0045</v>
      </c>
      <c r="B50" s="48">
        <v>44036.395833333336</v>
      </c>
      <c r="C50" s="632"/>
      <c r="D50" s="632"/>
      <c r="E50" s="632"/>
      <c r="F50" s="50">
        <v>45</v>
      </c>
      <c r="G50" s="44" t="s">
        <v>137</v>
      </c>
      <c r="H50" s="37" t="s">
        <v>66</v>
      </c>
      <c r="I50" s="37" t="s">
        <v>87</v>
      </c>
      <c r="J50" s="37" t="s">
        <v>138</v>
      </c>
      <c r="K50" s="39">
        <v>4</v>
      </c>
      <c r="L50" s="39">
        <v>4</v>
      </c>
      <c r="M50" s="39">
        <v>1</v>
      </c>
      <c r="N50" s="31">
        <v>9.5000000000000001E-2</v>
      </c>
      <c r="O50" s="63">
        <v>2.161</v>
      </c>
      <c r="P50" s="37" t="s">
        <v>69</v>
      </c>
      <c r="Q50" s="53">
        <f>87963100/1000000</f>
        <v>87.963099999999997</v>
      </c>
      <c r="R50" s="53">
        <v>131.76746800000001</v>
      </c>
      <c r="S50" s="457">
        <f t="shared" si="18"/>
        <v>2276.7379881656375</v>
      </c>
      <c r="T50" s="537" t="s">
        <v>68</v>
      </c>
      <c r="U50" s="60">
        <v>1.7470000000000001</v>
      </c>
      <c r="V50" s="60">
        <v>60.173000000000002</v>
      </c>
      <c r="W50" s="60">
        <v>0.02</v>
      </c>
      <c r="X50" s="60">
        <v>363.52800000000002</v>
      </c>
      <c r="Y50" s="31">
        <v>200</v>
      </c>
      <c r="Z50" s="37" t="s">
        <v>71</v>
      </c>
      <c r="AA50" s="31">
        <v>249</v>
      </c>
      <c r="AB50" s="39" t="s">
        <v>83</v>
      </c>
      <c r="AC50" s="41">
        <v>0</v>
      </c>
      <c r="AD50" s="41" t="s">
        <v>73</v>
      </c>
      <c r="AE50" s="41" t="s">
        <v>139</v>
      </c>
      <c r="AF50" s="40" t="str">
        <f t="shared" si="6"/>
        <v>N/A</v>
      </c>
      <c r="AG50" s="40" t="str">
        <f t="shared" si="6"/>
        <v>N/A</v>
      </c>
      <c r="AH50" s="41" t="s">
        <v>140</v>
      </c>
      <c r="AI50" s="40" t="str">
        <f t="shared" si="7"/>
        <v>N/A</v>
      </c>
      <c r="AJ50" s="40" t="s">
        <v>73</v>
      </c>
      <c r="AK50" s="40" t="str">
        <f t="shared" si="17"/>
        <v>N/A</v>
      </c>
      <c r="AL50" s="40" t="s">
        <v>70</v>
      </c>
      <c r="AM50" s="40" t="str">
        <f t="shared" si="17"/>
        <v>N/A</v>
      </c>
      <c r="AN50" s="294">
        <v>0.18359600000000001</v>
      </c>
      <c r="AO50" s="294">
        <v>0.18349399999999999</v>
      </c>
      <c r="AP50" s="294">
        <f>AN50-AO50</f>
        <v>1.0200000000001874E-4</v>
      </c>
      <c r="AQ50" s="40" t="s">
        <v>75</v>
      </c>
      <c r="AR50" s="285">
        <v>414541</v>
      </c>
      <c r="AS50" s="28">
        <v>128</v>
      </c>
      <c r="AT50" s="28">
        <v>200</v>
      </c>
      <c r="AU50" s="34">
        <v>1000000</v>
      </c>
      <c r="AV50" s="278">
        <v>6</v>
      </c>
      <c r="AW50" s="278">
        <v>5.6</v>
      </c>
      <c r="AX50" s="281">
        <v>1.1000000000000001</v>
      </c>
      <c r="AY50" s="281">
        <v>0.31</v>
      </c>
      <c r="AZ50" s="61">
        <v>21.8</v>
      </c>
      <c r="BA50" s="271">
        <v>21.8</v>
      </c>
      <c r="BB50" s="31">
        <v>57</v>
      </c>
      <c r="BC50" s="42" t="s">
        <v>76</v>
      </c>
      <c r="BD50" s="29"/>
      <c r="BE50" s="30" t="str">
        <f t="shared" si="21"/>
        <v>AL</v>
      </c>
      <c r="BF50" s="30" t="str">
        <f t="shared" si="22"/>
        <v>PMMA</v>
      </c>
      <c r="BG50" s="30" t="str">
        <f t="shared" si="23"/>
        <v>P</v>
      </c>
      <c r="BH50" s="30" t="str">
        <f t="shared" si="24"/>
        <v>M</v>
      </c>
      <c r="BI50" s="30" t="str">
        <f t="shared" si="25"/>
        <v>S</v>
      </c>
      <c r="BJ50" s="13"/>
      <c r="BK50" s="49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CD50" s="15">
        <v>6252.6683262082097</v>
      </c>
      <c r="CE50" s="15">
        <v>75</v>
      </c>
      <c r="CF50" s="341">
        <v>1.3897531216707391</v>
      </c>
    </row>
    <row r="51" spans="1:84">
      <c r="A51" s="25" t="str">
        <f t="shared" si="14"/>
        <v>HVIL001-HDPE-RT-AL-S10.0-0046</v>
      </c>
      <c r="B51" s="48">
        <v>44043.9375</v>
      </c>
      <c r="C51" s="632"/>
      <c r="D51" s="632"/>
      <c r="E51" s="632"/>
      <c r="F51" s="51">
        <v>46</v>
      </c>
      <c r="G51" s="44" t="s">
        <v>82</v>
      </c>
      <c r="H51" s="37" t="s">
        <v>66</v>
      </c>
      <c r="I51" s="37" t="s">
        <v>87</v>
      </c>
      <c r="J51" s="37" t="s">
        <v>105</v>
      </c>
      <c r="K51" s="39">
        <v>10</v>
      </c>
      <c r="L51" s="39">
        <v>10</v>
      </c>
      <c r="M51" s="39">
        <v>1</v>
      </c>
      <c r="N51" s="31">
        <v>1.4139999999999999</v>
      </c>
      <c r="O51" s="63">
        <v>3.391</v>
      </c>
      <c r="P51" s="37" t="s">
        <v>69</v>
      </c>
      <c r="Q51" s="53">
        <f>77848100/1000000</f>
        <v>77.848100000000002</v>
      </c>
      <c r="R51" s="53">
        <v>66.915060999999994</v>
      </c>
      <c r="S51" s="457">
        <f t="shared" si="18"/>
        <v>4483.2956215940685</v>
      </c>
      <c r="T51" s="537" t="s">
        <v>68</v>
      </c>
      <c r="U51" s="60">
        <v>1.75</v>
      </c>
      <c r="V51" s="60">
        <v>100.04300000000001</v>
      </c>
      <c r="W51" s="60">
        <v>0.02</v>
      </c>
      <c r="X51" s="60">
        <v>363.45</v>
      </c>
      <c r="Y51" s="31">
        <v>200</v>
      </c>
      <c r="Z51" s="37" t="s">
        <v>71</v>
      </c>
      <c r="AA51" s="31">
        <v>139</v>
      </c>
      <c r="AB51" s="39" t="s">
        <v>83</v>
      </c>
      <c r="AC51" s="41">
        <v>0</v>
      </c>
      <c r="AD51" s="41" t="s">
        <v>73</v>
      </c>
      <c r="AE51" s="41" t="s">
        <v>100</v>
      </c>
      <c r="AF51" s="40" t="str">
        <f t="shared" si="6"/>
        <v>N/A</v>
      </c>
      <c r="AG51" s="40" t="str">
        <f t="shared" si="6"/>
        <v>N/A</v>
      </c>
      <c r="AH51" s="41" t="s">
        <v>102</v>
      </c>
      <c r="AI51" s="40" t="str">
        <f t="shared" si="7"/>
        <v>N/A</v>
      </c>
      <c r="AJ51" s="40" t="s">
        <v>73</v>
      </c>
      <c r="AK51" s="40" t="str">
        <f t="shared" si="17"/>
        <v>N/A</v>
      </c>
      <c r="AL51" s="40" t="s">
        <v>70</v>
      </c>
      <c r="AM51" s="40" t="str">
        <f t="shared" si="17"/>
        <v>N/A</v>
      </c>
      <c r="AN51" s="294">
        <v>0.55203999999999998</v>
      </c>
      <c r="AO51" s="294">
        <v>0.54990000000000006</v>
      </c>
      <c r="AP51" s="294">
        <f>AN51-AO51</f>
        <v>2.1399999999999197E-3</v>
      </c>
      <c r="AQ51" s="40" t="s">
        <v>75</v>
      </c>
      <c r="AR51" s="285">
        <v>241695</v>
      </c>
      <c r="AS51" s="28">
        <v>128</v>
      </c>
      <c r="AT51" s="28">
        <v>200</v>
      </c>
      <c r="AU51" s="34">
        <v>1000000</v>
      </c>
      <c r="AV51" s="278">
        <v>6</v>
      </c>
      <c r="AW51" s="278">
        <v>5.6</v>
      </c>
      <c r="AX51" s="281">
        <v>1.1000000000000001</v>
      </c>
      <c r="AY51" s="281">
        <v>0.31</v>
      </c>
      <c r="AZ51" s="61">
        <v>21.4</v>
      </c>
      <c r="BA51" s="271">
        <v>21.4</v>
      </c>
      <c r="BB51" s="31">
        <v>57</v>
      </c>
      <c r="BC51" s="42" t="s">
        <v>76</v>
      </c>
      <c r="BD51" s="29"/>
      <c r="BE51" s="30" t="str">
        <f t="shared" si="21"/>
        <v>AL</v>
      </c>
      <c r="BF51" s="30" t="str">
        <f t="shared" si="22"/>
        <v>HDPE</v>
      </c>
      <c r="BG51" s="30" t="str">
        <f t="shared" si="23"/>
        <v>P</v>
      </c>
      <c r="BH51" s="30" t="str">
        <f t="shared" si="24"/>
        <v>M</v>
      </c>
      <c r="BI51" s="30" t="str">
        <f t="shared" si="25"/>
        <v>S</v>
      </c>
      <c r="BJ51" s="13"/>
      <c r="BK51" s="49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CD51" s="220">
        <v>6295.467571826196</v>
      </c>
      <c r="CE51" s="220">
        <v>75</v>
      </c>
      <c r="CF51" s="341">
        <v>1.5029097664694251</v>
      </c>
    </row>
    <row r="52" spans="1:84">
      <c r="A52" s="25" t="str">
        <f t="shared" si="14"/>
        <v>HVIL001-HDPE-RT-AL-S10.0-0047</v>
      </c>
      <c r="B52" s="48">
        <v>44046.5625</v>
      </c>
      <c r="C52" s="632"/>
      <c r="D52" s="632"/>
      <c r="E52" s="632"/>
      <c r="F52" s="50">
        <v>47</v>
      </c>
      <c r="G52" s="44" t="s">
        <v>82</v>
      </c>
      <c r="H52" s="37" t="s">
        <v>66</v>
      </c>
      <c r="I52" s="37" t="s">
        <v>87</v>
      </c>
      <c r="J52" s="37" t="s">
        <v>105</v>
      </c>
      <c r="K52" s="39">
        <v>10</v>
      </c>
      <c r="L52" s="39">
        <v>10</v>
      </c>
      <c r="M52" s="39">
        <v>1</v>
      </c>
      <c r="N52" s="31">
        <v>1.415</v>
      </c>
      <c r="O52" s="63">
        <f>3.409-0.019</f>
        <v>3.3899999999999997</v>
      </c>
      <c r="P52" s="37" t="s">
        <v>69</v>
      </c>
      <c r="Q52" s="53" t="s">
        <v>68</v>
      </c>
      <c r="R52" s="53" t="s">
        <v>68</v>
      </c>
      <c r="S52" s="457" t="s">
        <v>68</v>
      </c>
      <c r="T52" s="537" t="s">
        <v>68</v>
      </c>
      <c r="U52" s="60">
        <v>1.75</v>
      </c>
      <c r="V52" s="60">
        <v>150.01599999999999</v>
      </c>
      <c r="W52" s="60">
        <v>0.02</v>
      </c>
      <c r="X52" s="60">
        <v>363.4</v>
      </c>
      <c r="Y52" s="31">
        <v>250</v>
      </c>
      <c r="Z52" s="37" t="s">
        <v>71</v>
      </c>
      <c r="AA52" s="31">
        <v>220</v>
      </c>
      <c r="AB52" s="39" t="s">
        <v>83</v>
      </c>
      <c r="AC52" s="41">
        <v>0</v>
      </c>
      <c r="AD52" s="41" t="s">
        <v>73</v>
      </c>
      <c r="AE52" s="41" t="s">
        <v>100</v>
      </c>
      <c r="AF52" s="40" t="str">
        <f t="shared" si="6"/>
        <v>N/A</v>
      </c>
      <c r="AG52" s="40" t="str">
        <f t="shared" si="6"/>
        <v>N/A</v>
      </c>
      <c r="AH52" s="41" t="s">
        <v>102</v>
      </c>
      <c r="AI52" s="40" t="s">
        <v>70</v>
      </c>
      <c r="AJ52" s="40" t="s">
        <v>73</v>
      </c>
      <c r="AK52" s="40" t="str">
        <f t="shared" si="17"/>
        <v>N/A</v>
      </c>
      <c r="AL52" s="40" t="s">
        <v>70</v>
      </c>
      <c r="AM52" s="40" t="str">
        <f t="shared" si="17"/>
        <v>N/A</v>
      </c>
      <c r="AN52" s="294">
        <v>0.55759999999999998</v>
      </c>
      <c r="AO52" s="294">
        <v>0.55742000000000003</v>
      </c>
      <c r="AP52" s="294">
        <f>AN52-AO52</f>
        <v>1.7999999999995797E-4</v>
      </c>
      <c r="AQ52" s="40" t="s">
        <v>75</v>
      </c>
      <c r="AR52" s="285" t="s">
        <v>68</v>
      </c>
      <c r="AS52" s="28">
        <v>128</v>
      </c>
      <c r="AT52" s="28">
        <v>200</v>
      </c>
      <c r="AU52" s="34">
        <v>1000000</v>
      </c>
      <c r="AV52" s="278">
        <v>6</v>
      </c>
      <c r="AW52" s="278">
        <v>5.6</v>
      </c>
      <c r="AX52" s="281">
        <v>1.1000000000000001</v>
      </c>
      <c r="AY52" s="281">
        <v>0.31</v>
      </c>
      <c r="AZ52" s="61">
        <v>21.4</v>
      </c>
      <c r="BA52" s="271">
        <v>21.4</v>
      </c>
      <c r="BB52" s="31">
        <v>57</v>
      </c>
      <c r="BC52" s="42" t="s">
        <v>73</v>
      </c>
      <c r="BD52" s="29"/>
      <c r="BE52" s="30" t="str">
        <f t="shared" si="21"/>
        <v>AL</v>
      </c>
      <c r="BF52" s="30" t="str">
        <f t="shared" si="22"/>
        <v>HDPE</v>
      </c>
      <c r="BG52" s="30" t="str">
        <f t="shared" si="23"/>
        <v>P</v>
      </c>
      <c r="BH52" s="30" t="str">
        <f t="shared" si="24"/>
        <v>M</v>
      </c>
      <c r="BI52" s="30" t="str">
        <f t="shared" si="25"/>
        <v>S</v>
      </c>
      <c r="BJ52" s="13"/>
      <c r="BK52" s="49" t="s">
        <v>141</v>
      </c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CD52" s="15">
        <v>6371.7300440707077</v>
      </c>
      <c r="CE52" s="15">
        <v>76</v>
      </c>
      <c r="CF52" s="341">
        <v>1.4668543280994379</v>
      </c>
    </row>
    <row r="53" spans="1:84">
      <c r="A53" s="25" t="str">
        <f t="shared" si="14"/>
        <v>HVIL001-HDPE-RT-AL-S10.0-0048</v>
      </c>
      <c r="B53" s="48">
        <v>44047.4375</v>
      </c>
      <c r="C53" s="632"/>
      <c r="D53" s="632"/>
      <c r="E53" s="632"/>
      <c r="F53" s="50">
        <v>48</v>
      </c>
      <c r="G53" s="44" t="s">
        <v>82</v>
      </c>
      <c r="H53" s="37" t="s">
        <v>66</v>
      </c>
      <c r="I53" s="37" t="s">
        <v>87</v>
      </c>
      <c r="J53" s="37" t="s">
        <v>105</v>
      </c>
      <c r="K53" s="39">
        <v>10</v>
      </c>
      <c r="L53" s="39">
        <v>10</v>
      </c>
      <c r="M53" s="39">
        <v>1</v>
      </c>
      <c r="N53" s="31">
        <v>1.42</v>
      </c>
      <c r="O53" s="63">
        <f>3.416-0.019</f>
        <v>3.3969999999999998</v>
      </c>
      <c r="P53" s="37" t="s">
        <v>69</v>
      </c>
      <c r="Q53" s="53">
        <f>82474800/1000000</f>
        <v>82.474800000000002</v>
      </c>
      <c r="R53" s="53">
        <v>69.922574999999995</v>
      </c>
      <c r="S53" s="457">
        <f t="shared" si="18"/>
        <v>4290.4598407595831</v>
      </c>
      <c r="T53" s="537" t="s">
        <v>68</v>
      </c>
      <c r="U53" s="60">
        <v>1.7470000000000001</v>
      </c>
      <c r="V53" s="60">
        <v>110.044</v>
      </c>
      <c r="W53" s="60">
        <v>0.02</v>
      </c>
      <c r="X53" s="60">
        <v>363.17</v>
      </c>
      <c r="Y53" s="31">
        <v>197</v>
      </c>
      <c r="Z53" s="37" t="s">
        <v>71</v>
      </c>
      <c r="AA53" s="31">
        <v>160</v>
      </c>
      <c r="AB53" s="39" t="s">
        <v>83</v>
      </c>
      <c r="AC53" s="41">
        <v>0</v>
      </c>
      <c r="AD53" s="41" t="s">
        <v>73</v>
      </c>
      <c r="AE53" s="41" t="s">
        <v>100</v>
      </c>
      <c r="AF53" s="40" t="str">
        <f t="shared" si="6"/>
        <v>N/A</v>
      </c>
      <c r="AG53" s="40" t="str">
        <f t="shared" si="6"/>
        <v>N/A</v>
      </c>
      <c r="AH53" s="41" t="s">
        <v>102</v>
      </c>
      <c r="AI53" s="40" t="str">
        <f t="shared" si="7"/>
        <v>N/A</v>
      </c>
      <c r="AJ53" s="40" t="s">
        <v>73</v>
      </c>
      <c r="AK53" s="40" t="str">
        <f t="shared" si="17"/>
        <v>N/A</v>
      </c>
      <c r="AL53" s="40" t="s">
        <v>70</v>
      </c>
      <c r="AM53" s="40" t="str">
        <f t="shared" si="17"/>
        <v>N/A</v>
      </c>
      <c r="AN53" s="294">
        <v>0.54542999999999997</v>
      </c>
      <c r="AO53" s="294">
        <v>0.54342999999999997</v>
      </c>
      <c r="AP53" s="294">
        <f>AN53-AO53</f>
        <v>2.0000000000000018E-3</v>
      </c>
      <c r="AQ53" s="40" t="s">
        <v>75</v>
      </c>
      <c r="AR53" s="285">
        <v>252666</v>
      </c>
      <c r="AS53" s="28">
        <v>128</v>
      </c>
      <c r="AT53" s="28">
        <v>200</v>
      </c>
      <c r="AU53" s="34">
        <v>1000000</v>
      </c>
      <c r="AV53" s="278">
        <v>6</v>
      </c>
      <c r="AW53" s="278">
        <v>5.6</v>
      </c>
      <c r="AX53" s="281">
        <v>1.1000000000000001</v>
      </c>
      <c r="AY53" s="281">
        <v>0.31</v>
      </c>
      <c r="AZ53" s="61">
        <v>21.5</v>
      </c>
      <c r="BA53" s="271">
        <v>21.5</v>
      </c>
      <c r="BB53" s="31">
        <v>58</v>
      </c>
      <c r="BC53" s="42" t="s">
        <v>76</v>
      </c>
      <c r="BD53" s="29"/>
      <c r="BE53" s="30" t="str">
        <f t="shared" si="21"/>
        <v>AL</v>
      </c>
      <c r="BF53" s="30" t="str">
        <f t="shared" si="22"/>
        <v>HDPE</v>
      </c>
      <c r="BG53" s="30" t="str">
        <f t="shared" si="23"/>
        <v>P</v>
      </c>
      <c r="BH53" s="30" t="str">
        <f t="shared" si="24"/>
        <v>M</v>
      </c>
      <c r="BI53" s="30" t="str">
        <f t="shared" si="25"/>
        <v>S</v>
      </c>
      <c r="BJ53" s="13"/>
      <c r="BK53" s="49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CD53" s="15">
        <v>6484.1080455569108</v>
      </c>
      <c r="CE53" s="15">
        <v>100</v>
      </c>
      <c r="CF53" s="341">
        <v>1.356073196845903</v>
      </c>
    </row>
    <row r="54" spans="1:84">
      <c r="A54" s="25" t="str">
        <f t="shared" si="14"/>
        <v>HVIL001-HDPE-RT-AL-S10.0-0049</v>
      </c>
      <c r="B54" s="48">
        <v>44049.423611111109</v>
      </c>
      <c r="C54" s="632"/>
      <c r="D54" s="632"/>
      <c r="E54" s="632"/>
      <c r="F54" s="51">
        <v>49</v>
      </c>
      <c r="G54" s="44" t="s">
        <v>82</v>
      </c>
      <c r="H54" s="37" t="s">
        <v>66</v>
      </c>
      <c r="I54" s="37" t="s">
        <v>87</v>
      </c>
      <c r="J54" s="37" t="s">
        <v>105</v>
      </c>
      <c r="K54" s="39">
        <v>10</v>
      </c>
      <c r="L54" s="39">
        <v>10</v>
      </c>
      <c r="M54" s="39">
        <v>1</v>
      </c>
      <c r="N54" s="31">
        <v>1.4179999999999999</v>
      </c>
      <c r="O54" s="63">
        <v>3.4</v>
      </c>
      <c r="P54" s="37" t="s">
        <v>69</v>
      </c>
      <c r="Q54" s="53">
        <v>99.679400000000001</v>
      </c>
      <c r="R54" s="53">
        <v>54.841965000000002</v>
      </c>
      <c r="S54" s="457">
        <f t="shared" si="18"/>
        <v>5470.2635107987107</v>
      </c>
      <c r="T54" s="537" t="s">
        <v>68</v>
      </c>
      <c r="U54" s="60">
        <v>1.7490000000000001</v>
      </c>
      <c r="V54" s="60">
        <v>120.13800000000001</v>
      </c>
      <c r="W54" s="60">
        <v>0.02</v>
      </c>
      <c r="X54" s="60">
        <v>363.60700000000003</v>
      </c>
      <c r="Y54" s="31">
        <v>252</v>
      </c>
      <c r="Z54" s="37" t="s">
        <v>71</v>
      </c>
      <c r="AA54" s="31">
        <v>140</v>
      </c>
      <c r="AB54" s="39" t="s">
        <v>83</v>
      </c>
      <c r="AC54" s="41">
        <v>0</v>
      </c>
      <c r="AD54" s="41" t="s">
        <v>73</v>
      </c>
      <c r="AE54" s="41" t="s">
        <v>100</v>
      </c>
      <c r="AF54" s="40" t="str">
        <f t="shared" si="6"/>
        <v>N/A</v>
      </c>
      <c r="AG54" s="40" t="str">
        <f t="shared" si="6"/>
        <v>N/A</v>
      </c>
      <c r="AH54" s="41" t="s">
        <v>102</v>
      </c>
      <c r="AI54" s="40" t="str">
        <f t="shared" si="7"/>
        <v>N/A</v>
      </c>
      <c r="AJ54" s="40" t="s">
        <v>73</v>
      </c>
      <c r="AK54" s="40" t="str">
        <f t="shared" si="17"/>
        <v>N/A</v>
      </c>
      <c r="AL54" s="40" t="s">
        <v>70</v>
      </c>
      <c r="AM54" s="40" t="str">
        <f t="shared" si="17"/>
        <v>N/A</v>
      </c>
      <c r="AN54" s="294">
        <v>0.55128999999999995</v>
      </c>
      <c r="AO54" s="294">
        <v>0.54845999999999995</v>
      </c>
      <c r="AP54" s="294">
        <f t="shared" ref="AP54:AP56" si="26">AN54-AO54</f>
        <v>2.8299999999999992E-3</v>
      </c>
      <c r="AQ54" s="40" t="s">
        <v>75</v>
      </c>
      <c r="AR54" s="285">
        <v>198151</v>
      </c>
      <c r="AS54" s="28">
        <v>128</v>
      </c>
      <c r="AT54" s="28">
        <v>200</v>
      </c>
      <c r="AU54" s="34">
        <v>1000000</v>
      </c>
      <c r="AV54" s="278">
        <v>6</v>
      </c>
      <c r="AW54" s="278">
        <v>5.6</v>
      </c>
      <c r="AX54" s="281">
        <v>1.1000000000000001</v>
      </c>
      <c r="AY54" s="281">
        <v>0.31</v>
      </c>
      <c r="AZ54" s="61">
        <v>21.4</v>
      </c>
      <c r="BA54" s="271">
        <v>21.4</v>
      </c>
      <c r="BB54" s="31">
        <v>58</v>
      </c>
      <c r="BC54" s="42" t="s">
        <v>76</v>
      </c>
      <c r="BD54" s="29"/>
      <c r="BE54" s="30" t="str">
        <f t="shared" si="21"/>
        <v>AL</v>
      </c>
      <c r="BF54" s="30" t="str">
        <f t="shared" si="22"/>
        <v>HDPE</v>
      </c>
      <c r="BG54" s="30" t="str">
        <f t="shared" si="23"/>
        <v>P</v>
      </c>
      <c r="BH54" s="30" t="str">
        <f t="shared" si="24"/>
        <v>M</v>
      </c>
      <c r="BI54" s="30" t="str">
        <f t="shared" si="25"/>
        <v>S</v>
      </c>
      <c r="BJ54" s="13"/>
      <c r="BK54" s="49" t="s">
        <v>142</v>
      </c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CD54" s="15">
        <v>6536.8463507728411</v>
      </c>
      <c r="CE54" s="15">
        <v>76</v>
      </c>
      <c r="CF54" s="341">
        <v>1.379878090297852</v>
      </c>
    </row>
    <row r="55" spans="1:84">
      <c r="A55" s="25" t="str">
        <f t="shared" si="14"/>
        <v>HVIL001-HDPE-RT-AL-S10.0-0050</v>
      </c>
      <c r="B55" s="48">
        <v>44050.447916666664</v>
      </c>
      <c r="C55" s="632"/>
      <c r="D55" s="632"/>
      <c r="E55" s="632"/>
      <c r="F55" s="50">
        <v>50</v>
      </c>
      <c r="G55" s="44" t="s">
        <v>82</v>
      </c>
      <c r="H55" s="37" t="s">
        <v>66</v>
      </c>
      <c r="I55" s="37" t="s">
        <v>87</v>
      </c>
      <c r="J55" s="37" t="s">
        <v>105</v>
      </c>
      <c r="K55" s="39">
        <v>10</v>
      </c>
      <c r="L55" s="39">
        <v>10</v>
      </c>
      <c r="M55" s="39">
        <v>1</v>
      </c>
      <c r="N55" s="31">
        <v>1.413</v>
      </c>
      <c r="O55" s="63">
        <f>3.417-0.018</f>
        <v>3.399</v>
      </c>
      <c r="P55" s="37" t="s">
        <v>69</v>
      </c>
      <c r="Q55" s="53">
        <f>69649200/1000000</f>
        <v>69.649199999999993</v>
      </c>
      <c r="R55" s="53">
        <v>62.640915</v>
      </c>
      <c r="S55" s="457">
        <f t="shared" si="18"/>
        <v>4789.2020734371454</v>
      </c>
      <c r="T55" s="537" t="s">
        <v>68</v>
      </c>
      <c r="U55" s="60">
        <v>1.7470000000000001</v>
      </c>
      <c r="V55" s="60">
        <v>120.17700000000001</v>
      </c>
      <c r="W55" s="60">
        <v>0.02</v>
      </c>
      <c r="X55" s="60">
        <v>363.61200000000002</v>
      </c>
      <c r="Y55" s="31">
        <v>250</v>
      </c>
      <c r="Z55" s="37" t="s">
        <v>71</v>
      </c>
      <c r="AA55" s="31">
        <v>200</v>
      </c>
      <c r="AB55" s="39" t="s">
        <v>83</v>
      </c>
      <c r="AC55" s="41">
        <v>0</v>
      </c>
      <c r="AD55" s="41" t="s">
        <v>73</v>
      </c>
      <c r="AE55" s="41" t="s">
        <v>100</v>
      </c>
      <c r="AF55" s="40" t="str">
        <f t="shared" si="6"/>
        <v>N/A</v>
      </c>
      <c r="AG55" s="40" t="str">
        <f t="shared" si="6"/>
        <v>N/A</v>
      </c>
      <c r="AH55" s="41" t="s">
        <v>102</v>
      </c>
      <c r="AI55" s="40" t="str">
        <f t="shared" si="7"/>
        <v>N/A</v>
      </c>
      <c r="AJ55" s="40" t="s">
        <v>73</v>
      </c>
      <c r="AK55" s="40" t="str">
        <f t="shared" si="17"/>
        <v>N/A</v>
      </c>
      <c r="AL55" s="40" t="s">
        <v>70</v>
      </c>
      <c r="AM55" s="40" t="str">
        <f t="shared" si="17"/>
        <v>N/A</v>
      </c>
      <c r="AN55" s="294">
        <v>0.54500999999999999</v>
      </c>
      <c r="AO55" s="294">
        <v>0.54281999999999997</v>
      </c>
      <c r="AP55" s="294">
        <f t="shared" si="26"/>
        <v>2.1900000000000253E-3</v>
      </c>
      <c r="AQ55" s="40" t="s">
        <v>75</v>
      </c>
      <c r="AR55" s="285">
        <v>226300</v>
      </c>
      <c r="AS55" s="28">
        <v>128</v>
      </c>
      <c r="AT55" s="28">
        <v>200</v>
      </c>
      <c r="AU55" s="34">
        <v>1000000</v>
      </c>
      <c r="AV55" s="278">
        <v>6</v>
      </c>
      <c r="AW55" s="278">
        <v>8</v>
      </c>
      <c r="AX55" s="281">
        <v>1.1000000000000001</v>
      </c>
      <c r="AY55" s="281">
        <v>0.31</v>
      </c>
      <c r="AZ55" s="61">
        <v>21</v>
      </c>
      <c r="BA55" s="271">
        <v>21</v>
      </c>
      <c r="BB55" s="31">
        <v>58</v>
      </c>
      <c r="BC55" s="42" t="s">
        <v>76</v>
      </c>
      <c r="BD55" s="29"/>
      <c r="BE55" s="30" t="str">
        <f t="shared" si="21"/>
        <v>AL</v>
      </c>
      <c r="BF55" s="30" t="str">
        <f t="shared" si="22"/>
        <v>HDPE</v>
      </c>
      <c r="BG55" s="30" t="str">
        <f t="shared" si="23"/>
        <v>P</v>
      </c>
      <c r="BH55" s="30" t="str">
        <f t="shared" si="24"/>
        <v>M</v>
      </c>
      <c r="BI55" s="30" t="str">
        <f t="shared" si="25"/>
        <v>S</v>
      </c>
      <c r="BJ55" s="13"/>
      <c r="BK55" s="49" t="s">
        <v>142</v>
      </c>
      <c r="BL55" s="13"/>
      <c r="BM55" s="13"/>
      <c r="BN55" s="13"/>
      <c r="BO55" s="13"/>
      <c r="BP55" s="13"/>
      <c r="BQ55" s="13"/>
      <c r="BR55" s="13"/>
      <c r="BS55" s="13"/>
      <c r="BT55" s="13"/>
      <c r="BU55" s="13"/>
    </row>
    <row r="56" spans="1:84">
      <c r="A56" s="25" t="str">
        <f>IF(B56&lt;&gt;"",G56&amp;"-"&amp;BF56&amp;"-"&amp;AQ56&amp;"-"&amp;BE56&amp;"-"&amp;BI56&amp;TEXT(ROUND(K56,1),"00.0")&amp;"-"&amp;TEXT(F56,"0000"),"")</f>
        <v>HVIL003-PMMA-RT-AL-S04.0-0051</v>
      </c>
      <c r="B56" s="48">
        <v>44050.614583333336</v>
      </c>
      <c r="C56" s="632"/>
      <c r="D56" s="632"/>
      <c r="E56" s="632"/>
      <c r="F56" s="50">
        <v>51</v>
      </c>
      <c r="G56" s="44" t="s">
        <v>137</v>
      </c>
      <c r="H56" s="37" t="s">
        <v>66</v>
      </c>
      <c r="I56" s="37" t="s">
        <v>87</v>
      </c>
      <c r="J56" s="37" t="s">
        <v>138</v>
      </c>
      <c r="K56" s="39">
        <v>4</v>
      </c>
      <c r="L56" s="39">
        <v>4</v>
      </c>
      <c r="M56" s="39">
        <v>1</v>
      </c>
      <c r="N56" s="31">
        <v>9.1999999999999998E-2</v>
      </c>
      <c r="O56" s="63">
        <f>2.157-0.016</f>
        <v>2.141</v>
      </c>
      <c r="P56" s="37" t="s">
        <v>69</v>
      </c>
      <c r="Q56" s="53" t="s">
        <v>68</v>
      </c>
      <c r="R56" s="53">
        <v>45.963037999999997</v>
      </c>
      <c r="S56" s="457">
        <f t="shared" ref="S56:S87" si="27">IF(ISNUMBER(R56),distx/(R56*10^-6),"")</f>
        <v>6526.9837037316811</v>
      </c>
      <c r="T56" s="537" t="s">
        <v>68</v>
      </c>
      <c r="U56" s="60">
        <v>1.75</v>
      </c>
      <c r="V56" s="60">
        <v>149.989</v>
      </c>
      <c r="W56" s="60">
        <v>0.02</v>
      </c>
      <c r="X56" s="60">
        <v>363.11</v>
      </c>
      <c r="Y56" s="31">
        <v>200</v>
      </c>
      <c r="Z56" s="37" t="s">
        <v>71</v>
      </c>
      <c r="AA56" s="31">
        <v>221</v>
      </c>
      <c r="AB56" s="39" t="s">
        <v>83</v>
      </c>
      <c r="AC56" s="41">
        <v>0</v>
      </c>
      <c r="AD56" s="41" t="s">
        <v>73</v>
      </c>
      <c r="AE56" s="41" t="s">
        <v>139</v>
      </c>
      <c r="AF56" s="40" t="str">
        <f t="shared" si="6"/>
        <v>N/A</v>
      </c>
      <c r="AG56" s="40" t="str">
        <f t="shared" si="6"/>
        <v>N/A</v>
      </c>
      <c r="AH56" s="41" t="s">
        <v>140</v>
      </c>
      <c r="AI56" s="40" t="str">
        <f t="shared" si="7"/>
        <v>N/A</v>
      </c>
      <c r="AJ56" s="40" t="s">
        <v>73</v>
      </c>
      <c r="AK56" s="40" t="str">
        <f t="shared" si="17"/>
        <v>N/A</v>
      </c>
      <c r="AL56" s="40" t="s">
        <v>70</v>
      </c>
      <c r="AM56" s="40" t="str">
        <f t="shared" si="17"/>
        <v>N/A</v>
      </c>
      <c r="AN56" s="294">
        <v>0.15937000000000001</v>
      </c>
      <c r="AO56" s="294">
        <v>0.15892999999999999</v>
      </c>
      <c r="AP56" s="294">
        <f t="shared" si="26"/>
        <v>4.4000000000002371E-4</v>
      </c>
      <c r="AQ56" s="40" t="s">
        <v>75</v>
      </c>
      <c r="AR56" s="285">
        <v>165983</v>
      </c>
      <c r="AS56" s="28">
        <v>128</v>
      </c>
      <c r="AT56" s="28">
        <v>200</v>
      </c>
      <c r="AU56" s="34">
        <v>1000000</v>
      </c>
      <c r="AV56" s="278">
        <v>6</v>
      </c>
      <c r="AW56" s="278">
        <v>8</v>
      </c>
      <c r="AX56" s="281">
        <v>1.05</v>
      </c>
      <c r="AY56" s="281">
        <v>0.31</v>
      </c>
      <c r="AZ56" s="61">
        <v>21.6</v>
      </c>
      <c r="BA56" s="271">
        <v>21.6</v>
      </c>
      <c r="BB56" s="31">
        <v>57</v>
      </c>
      <c r="BC56" s="42" t="s">
        <v>73</v>
      </c>
      <c r="BD56" s="29"/>
      <c r="BE56" s="30" t="str">
        <f t="shared" si="21"/>
        <v>AL</v>
      </c>
      <c r="BF56" s="30" t="str">
        <f t="shared" si="22"/>
        <v>PMMA</v>
      </c>
      <c r="BG56" s="30" t="str">
        <f t="shared" si="23"/>
        <v>P</v>
      </c>
      <c r="BH56" s="30" t="str">
        <f t="shared" si="24"/>
        <v>M</v>
      </c>
      <c r="BI56" s="30" t="str">
        <f t="shared" si="25"/>
        <v>S</v>
      </c>
      <c r="BJ56" s="13"/>
      <c r="BK56" s="49" t="s">
        <v>143</v>
      </c>
      <c r="BL56" s="13"/>
      <c r="BM56" s="13"/>
      <c r="BN56" s="13"/>
      <c r="BO56" s="13"/>
      <c r="BP56" s="13"/>
      <c r="BQ56" s="13"/>
      <c r="BR56" s="13"/>
      <c r="BS56" s="13"/>
      <c r="BT56" s="13"/>
      <c r="BU56" s="13"/>
    </row>
    <row r="57" spans="1:84">
      <c r="A57" s="25" t="str">
        <f t="shared" si="14"/>
        <v>HVIL003-PMMA-RT-AL-S04.0-0052</v>
      </c>
      <c r="B57" s="48">
        <v>44050.677083333336</v>
      </c>
      <c r="C57" s="632"/>
      <c r="D57" s="632"/>
      <c r="E57" s="632"/>
      <c r="F57" s="51">
        <v>52</v>
      </c>
      <c r="G57" s="44" t="s">
        <v>137</v>
      </c>
      <c r="H57" s="37" t="s">
        <v>66</v>
      </c>
      <c r="I57" s="37" t="s">
        <v>87</v>
      </c>
      <c r="J57" s="37" t="s">
        <v>138</v>
      </c>
      <c r="K57" s="39">
        <v>4</v>
      </c>
      <c r="L57" s="39">
        <v>4</v>
      </c>
      <c r="M57" s="39">
        <v>1</v>
      </c>
      <c r="N57" s="31">
        <v>9.2999999999999999E-2</v>
      </c>
      <c r="O57" s="63">
        <v>2.1579999999999999</v>
      </c>
      <c r="P57" s="37" t="s">
        <v>69</v>
      </c>
      <c r="Q57" s="53">
        <v>83.785300000000007</v>
      </c>
      <c r="R57" s="53">
        <v>49.123130000000003</v>
      </c>
      <c r="S57" s="457">
        <f t="shared" si="27"/>
        <v>6107.102702942585</v>
      </c>
      <c r="T57" s="537" t="s">
        <v>68</v>
      </c>
      <c r="U57" s="60">
        <v>1.764</v>
      </c>
      <c r="V57" s="60">
        <v>149.96700000000001</v>
      </c>
      <c r="W57" s="60">
        <v>0.02</v>
      </c>
      <c r="X57" s="60">
        <v>362.84399999999999</v>
      </c>
      <c r="Y57" s="31">
        <v>200</v>
      </c>
      <c r="Z57" s="37" t="s">
        <v>71</v>
      </c>
      <c r="AA57" s="31">
        <v>220</v>
      </c>
      <c r="AB57" s="39" t="s">
        <v>83</v>
      </c>
      <c r="AC57" s="41">
        <v>0</v>
      </c>
      <c r="AD57" s="41" t="s">
        <v>73</v>
      </c>
      <c r="AE57" s="41" t="s">
        <v>139</v>
      </c>
      <c r="AF57" s="40" t="str">
        <f t="shared" si="6"/>
        <v>N/A</v>
      </c>
      <c r="AG57" s="40" t="str">
        <f t="shared" si="6"/>
        <v>N/A</v>
      </c>
      <c r="AH57" s="41" t="s">
        <v>140</v>
      </c>
      <c r="AI57" s="40" t="str">
        <f t="shared" si="7"/>
        <v>N/A</v>
      </c>
      <c r="AJ57" s="40" t="s">
        <v>73</v>
      </c>
      <c r="AK57" s="40" t="str">
        <f>IF($AJ57="N","N/A"," ")</f>
        <v>N/A</v>
      </c>
      <c r="AL57" s="40" t="s">
        <v>70</v>
      </c>
      <c r="AM57" s="40" t="str">
        <f t="shared" si="17"/>
        <v>N/A</v>
      </c>
      <c r="AN57" s="294">
        <v>0.18063000000000001</v>
      </c>
      <c r="AO57" s="294" t="s">
        <v>68</v>
      </c>
      <c r="AP57" s="294" t="s">
        <v>68</v>
      </c>
      <c r="AQ57" s="40" t="s">
        <v>75</v>
      </c>
      <c r="AR57" s="285">
        <v>177541</v>
      </c>
      <c r="AS57" s="28">
        <v>128</v>
      </c>
      <c r="AT57" s="28">
        <v>200</v>
      </c>
      <c r="AU57" s="34">
        <v>1000000</v>
      </c>
      <c r="AV57" s="278">
        <v>6</v>
      </c>
      <c r="AW57" s="278">
        <v>11</v>
      </c>
      <c r="AX57" s="278">
        <v>1.05</v>
      </c>
      <c r="AY57" s="281">
        <v>0.31</v>
      </c>
      <c r="AZ57" s="61">
        <v>21.6</v>
      </c>
      <c r="BA57" s="271">
        <v>21.6</v>
      </c>
      <c r="BB57" s="31">
        <v>57</v>
      </c>
      <c r="BC57" s="42" t="s">
        <v>73</v>
      </c>
      <c r="BD57" s="29"/>
      <c r="BE57" s="30" t="str">
        <f t="shared" si="21"/>
        <v>AL</v>
      </c>
      <c r="BF57" s="30" t="str">
        <f t="shared" si="22"/>
        <v>PMMA</v>
      </c>
      <c r="BG57" s="30" t="str">
        <f t="shared" si="23"/>
        <v>P</v>
      </c>
      <c r="BH57" s="30" t="str">
        <f t="shared" si="24"/>
        <v>M</v>
      </c>
      <c r="BI57" s="30" t="str">
        <f t="shared" si="25"/>
        <v>S</v>
      </c>
      <c r="BJ57" s="13"/>
      <c r="BK57" s="49" t="s">
        <v>144</v>
      </c>
      <c r="BL57" s="13"/>
      <c r="BM57" s="13"/>
      <c r="BN57" s="13"/>
      <c r="BO57" s="13"/>
      <c r="BP57" s="13"/>
      <c r="BQ57" s="13"/>
      <c r="BR57" s="13"/>
      <c r="BS57" s="13"/>
      <c r="BT57" s="13"/>
      <c r="BU57" s="13"/>
    </row>
    <row r="58" spans="1:84">
      <c r="A58" s="25" t="str">
        <f t="shared" si="14"/>
        <v>HVIL001-HDPE-RT-AL-S10.0-0053</v>
      </c>
      <c r="B58" s="48">
        <v>44051.5625</v>
      </c>
      <c r="C58" s="632"/>
      <c r="D58" s="632"/>
      <c r="E58" s="632"/>
      <c r="F58" s="50">
        <v>53</v>
      </c>
      <c r="G58" s="44" t="s">
        <v>82</v>
      </c>
      <c r="H58" s="37" t="s">
        <v>66</v>
      </c>
      <c r="I58" s="37" t="s">
        <v>87</v>
      </c>
      <c r="J58" s="37" t="s">
        <v>105</v>
      </c>
      <c r="K58" s="39">
        <v>10</v>
      </c>
      <c r="L58" s="39">
        <v>10</v>
      </c>
      <c r="M58" s="39">
        <v>1</v>
      </c>
      <c r="N58" s="31">
        <v>1.4179999999999999</v>
      </c>
      <c r="O58" s="63">
        <f>3.403-0.024</f>
        <v>3.379</v>
      </c>
      <c r="P58" s="37" t="s">
        <v>69</v>
      </c>
      <c r="Q58" s="53">
        <f>95193100/1000000</f>
        <v>95.193100000000001</v>
      </c>
      <c r="R58" s="53">
        <v>78.050906999999995</v>
      </c>
      <c r="S58" s="457">
        <f t="shared" si="27"/>
        <v>3843.6452762810304</v>
      </c>
      <c r="T58" s="537" t="s">
        <v>68</v>
      </c>
      <c r="U58" s="60">
        <v>1.746</v>
      </c>
      <c r="V58" s="60">
        <v>99.986000000000004</v>
      </c>
      <c r="W58" s="60">
        <v>0.02</v>
      </c>
      <c r="X58" s="60">
        <v>363.82</v>
      </c>
      <c r="Y58" s="31">
        <v>200</v>
      </c>
      <c r="Z58" s="37" t="s">
        <v>71</v>
      </c>
      <c r="AA58" s="31">
        <v>271</v>
      </c>
      <c r="AB58" s="39" t="s">
        <v>83</v>
      </c>
      <c r="AC58" s="41">
        <v>0</v>
      </c>
      <c r="AD58" s="41" t="s">
        <v>73</v>
      </c>
      <c r="AE58" s="41" t="s">
        <v>100</v>
      </c>
      <c r="AF58" s="40" t="str">
        <f t="shared" si="6"/>
        <v>N/A</v>
      </c>
      <c r="AG58" s="40" t="str">
        <f t="shared" si="6"/>
        <v>N/A</v>
      </c>
      <c r="AH58" s="41" t="s">
        <v>102</v>
      </c>
      <c r="AI58" s="40" t="str">
        <f t="shared" si="7"/>
        <v>N/A</v>
      </c>
      <c r="AJ58" s="40" t="s">
        <v>73</v>
      </c>
      <c r="AK58" s="40" t="str">
        <f t="shared" si="17"/>
        <v>N/A</v>
      </c>
      <c r="AL58" s="40" t="s">
        <v>70</v>
      </c>
      <c r="AM58" s="40" t="str">
        <f t="shared" si="17"/>
        <v>N/A</v>
      </c>
      <c r="AN58" s="294">
        <v>0.54776000000000002</v>
      </c>
      <c r="AO58" s="294">
        <v>0.54598999999999998</v>
      </c>
      <c r="AP58" s="294">
        <f>AN58-AO58</f>
        <v>1.7700000000000493E-3</v>
      </c>
      <c r="AQ58" s="40" t="s">
        <v>75</v>
      </c>
      <c r="AR58" s="285">
        <v>281741</v>
      </c>
      <c r="AS58" s="28">
        <v>128</v>
      </c>
      <c r="AT58" s="28">
        <v>200</v>
      </c>
      <c r="AU58" s="34">
        <v>1000000</v>
      </c>
      <c r="AV58" s="278">
        <v>6</v>
      </c>
      <c r="AW58" s="278">
        <v>11</v>
      </c>
      <c r="AX58" s="278">
        <v>1.1000000000000001</v>
      </c>
      <c r="AY58" s="281">
        <v>0.31</v>
      </c>
      <c r="AZ58" s="61">
        <v>21.5</v>
      </c>
      <c r="BA58" s="271">
        <v>21.5</v>
      </c>
      <c r="BB58" s="31">
        <v>57</v>
      </c>
      <c r="BC58" s="42" t="s">
        <v>76</v>
      </c>
      <c r="BD58" s="29"/>
      <c r="BE58" s="30" t="str">
        <f t="shared" si="21"/>
        <v>AL</v>
      </c>
      <c r="BF58" s="30" t="str">
        <f t="shared" si="22"/>
        <v>HDPE</v>
      </c>
      <c r="BG58" s="30" t="str">
        <f t="shared" si="23"/>
        <v>P</v>
      </c>
      <c r="BH58" s="30" t="str">
        <f t="shared" si="24"/>
        <v>M</v>
      </c>
      <c r="BI58" s="30" t="str">
        <f t="shared" si="25"/>
        <v>S</v>
      </c>
      <c r="BJ58" s="13"/>
      <c r="BK58" s="49"/>
      <c r="BL58" s="13"/>
      <c r="BM58" s="13"/>
      <c r="BN58" s="13"/>
      <c r="BO58" s="13"/>
      <c r="BP58" s="13"/>
      <c r="BQ58" s="13"/>
      <c r="BR58" s="13"/>
      <c r="BS58" s="13"/>
      <c r="BT58" s="13"/>
      <c r="BU58" s="13"/>
    </row>
    <row r="59" spans="1:84">
      <c r="A59" s="25" t="str">
        <f t="shared" si="14"/>
        <v>HVIL001-HDPE-RT-AL-S10.0-0054</v>
      </c>
      <c r="B59" s="48">
        <v>44053.472222222219</v>
      </c>
      <c r="C59" s="632"/>
      <c r="D59" s="632"/>
      <c r="E59" s="632"/>
      <c r="F59" s="50">
        <v>54</v>
      </c>
      <c r="G59" s="44" t="s">
        <v>82</v>
      </c>
      <c r="H59" s="37" t="s">
        <v>66</v>
      </c>
      <c r="I59" s="37" t="s">
        <v>87</v>
      </c>
      <c r="J59" s="37" t="s">
        <v>105</v>
      </c>
      <c r="K59" s="39">
        <v>10</v>
      </c>
      <c r="L59" s="39">
        <v>10</v>
      </c>
      <c r="M59" s="39">
        <v>1</v>
      </c>
      <c r="N59" s="31">
        <v>1.417</v>
      </c>
      <c r="O59" s="63">
        <f>3.41-0.016</f>
        <v>3.3940000000000001</v>
      </c>
      <c r="P59" s="37" t="s">
        <v>69</v>
      </c>
      <c r="Q59" s="481">
        <f>66536700/1000000</f>
        <v>66.536699999999996</v>
      </c>
      <c r="R59" s="53">
        <v>120.742863</v>
      </c>
      <c r="S59" s="457">
        <f t="shared" si="27"/>
        <v>2484.618904555874</v>
      </c>
      <c r="T59" s="537" t="s">
        <v>68</v>
      </c>
      <c r="U59" s="60">
        <v>1.7569999999999999</v>
      </c>
      <c r="V59" s="60">
        <v>60.027999999999999</v>
      </c>
      <c r="W59" s="60">
        <v>0.02</v>
      </c>
      <c r="X59" s="60">
        <v>363.53899999999999</v>
      </c>
      <c r="Y59" s="31">
        <v>200</v>
      </c>
      <c r="Z59" s="37" t="s">
        <v>71</v>
      </c>
      <c r="AA59" s="31">
        <v>249</v>
      </c>
      <c r="AB59" s="39" t="s">
        <v>83</v>
      </c>
      <c r="AC59" s="41">
        <v>0</v>
      </c>
      <c r="AD59" s="41" t="s">
        <v>73</v>
      </c>
      <c r="AE59" s="41" t="s">
        <v>100</v>
      </c>
      <c r="AF59" s="40" t="str">
        <f t="shared" si="6"/>
        <v>N/A</v>
      </c>
      <c r="AG59" s="40" t="str">
        <f t="shared" si="6"/>
        <v>N/A</v>
      </c>
      <c r="AH59" s="41" t="s">
        <v>102</v>
      </c>
      <c r="AI59" s="40" t="str">
        <f t="shared" si="7"/>
        <v>N/A</v>
      </c>
      <c r="AJ59" s="40" t="s">
        <v>73</v>
      </c>
      <c r="AK59" s="40" t="str">
        <f t="shared" si="17"/>
        <v>N/A</v>
      </c>
      <c r="AL59" s="40" t="s">
        <v>70</v>
      </c>
      <c r="AM59" s="40" t="str">
        <f t="shared" si="17"/>
        <v>N/A</v>
      </c>
      <c r="AN59" s="294">
        <v>0.54191999999999996</v>
      </c>
      <c r="AO59" s="294">
        <v>0.54083999999999999</v>
      </c>
      <c r="AP59" s="294">
        <f>AN59-AO59</f>
        <v>1.0799999999999699E-3</v>
      </c>
      <c r="AQ59" s="40" t="s">
        <v>75</v>
      </c>
      <c r="AR59" s="285">
        <v>436144</v>
      </c>
      <c r="AS59" s="28">
        <v>128</v>
      </c>
      <c r="AT59" s="28">
        <v>200</v>
      </c>
      <c r="AU59" s="34">
        <v>1000000</v>
      </c>
      <c r="AV59" s="278">
        <v>6</v>
      </c>
      <c r="AW59" s="278">
        <v>8</v>
      </c>
      <c r="AX59" s="278">
        <v>1.1000000000000001</v>
      </c>
      <c r="AY59" s="281">
        <v>0.31</v>
      </c>
      <c r="AZ59" s="61">
        <v>21.4</v>
      </c>
      <c r="BA59" s="271">
        <v>21.4</v>
      </c>
      <c r="BB59" s="31">
        <v>58</v>
      </c>
      <c r="BC59" s="42" t="s">
        <v>76</v>
      </c>
      <c r="BD59" s="29"/>
      <c r="BE59" s="30" t="str">
        <f t="shared" si="21"/>
        <v>AL</v>
      </c>
      <c r="BF59" s="30" t="str">
        <f t="shared" si="22"/>
        <v>HDPE</v>
      </c>
      <c r="BG59" s="30" t="str">
        <f t="shared" si="23"/>
        <v>P</v>
      </c>
      <c r="BH59" s="30" t="str">
        <f t="shared" si="24"/>
        <v>M</v>
      </c>
      <c r="BI59" s="30" t="str">
        <f t="shared" si="25"/>
        <v>S</v>
      </c>
      <c r="BJ59" s="13"/>
      <c r="BK59" s="49"/>
      <c r="BL59" s="13"/>
      <c r="BM59" s="13"/>
      <c r="BN59" s="13"/>
      <c r="BO59" s="13"/>
      <c r="BP59" s="13"/>
      <c r="BQ59" s="13"/>
      <c r="BR59" s="13"/>
      <c r="BS59" s="13"/>
      <c r="BT59" s="13"/>
      <c r="BU59" s="13"/>
    </row>
    <row r="60" spans="1:84">
      <c r="A60" s="25" t="str">
        <f t="shared" si="14"/>
        <v>HVIL003-PMMA-RT-ST-S10.0-0055</v>
      </c>
      <c r="B60" s="48">
        <v>44054.4375</v>
      </c>
      <c r="C60" s="632"/>
      <c r="D60" s="632"/>
      <c r="E60" s="632"/>
      <c r="F60" s="51">
        <v>55</v>
      </c>
      <c r="G60" s="44" t="s">
        <v>137</v>
      </c>
      <c r="H60" s="37" t="s">
        <v>66</v>
      </c>
      <c r="I60" s="37" t="s">
        <v>120</v>
      </c>
      <c r="J60" s="37" t="s">
        <v>131</v>
      </c>
      <c r="K60" s="39">
        <v>10</v>
      </c>
      <c r="L60" s="39">
        <v>10</v>
      </c>
      <c r="M60" s="39">
        <v>1</v>
      </c>
      <c r="N60" s="31">
        <v>4.0590000000000002</v>
      </c>
      <c r="O60" s="63">
        <f>6.053-0.017</f>
        <v>6.0359999999999996</v>
      </c>
      <c r="P60" s="37" t="s">
        <v>69</v>
      </c>
      <c r="Q60" s="53">
        <f>70957100/1000000</f>
        <v>70.957099999999997</v>
      </c>
      <c r="R60" s="53">
        <v>157.861243</v>
      </c>
      <c r="S60" s="457">
        <f t="shared" si="27"/>
        <v>1900.4031280812858</v>
      </c>
      <c r="T60" s="537" t="s">
        <v>68</v>
      </c>
      <c r="U60" s="60">
        <v>1.7450000000000001</v>
      </c>
      <c r="V60" s="60">
        <v>60.082000000000001</v>
      </c>
      <c r="W60" s="60">
        <v>0.02</v>
      </c>
      <c r="X60" s="60">
        <v>363.46899999999999</v>
      </c>
      <c r="Y60" s="31">
        <v>200</v>
      </c>
      <c r="Z60" s="37" t="s">
        <v>71</v>
      </c>
      <c r="AA60" s="31">
        <v>250</v>
      </c>
      <c r="AB60" s="39" t="s">
        <v>83</v>
      </c>
      <c r="AC60" s="41">
        <v>0</v>
      </c>
      <c r="AD60" s="41" t="s">
        <v>73</v>
      </c>
      <c r="AE60" s="41" t="s">
        <v>139</v>
      </c>
      <c r="AF60" s="40" t="str">
        <f t="shared" si="6"/>
        <v>N/A</v>
      </c>
      <c r="AG60" s="40" t="str">
        <f t="shared" si="6"/>
        <v>N/A</v>
      </c>
      <c r="AH60" s="41" t="s">
        <v>145</v>
      </c>
      <c r="AI60" s="40" t="str">
        <f t="shared" si="7"/>
        <v>N/A</v>
      </c>
      <c r="AJ60" s="40" t="s">
        <v>73</v>
      </c>
      <c r="AK60" s="40" t="str">
        <f t="shared" si="17"/>
        <v>N/A</v>
      </c>
      <c r="AL60" s="40" t="s">
        <v>70</v>
      </c>
      <c r="AM60" s="40" t="str">
        <f t="shared" si="17"/>
        <v>N/A</v>
      </c>
      <c r="AN60" s="294">
        <f>0.79652-0.16102</f>
        <v>0.63549999999999995</v>
      </c>
      <c r="AO60" s="294">
        <v>0.63217999999999996</v>
      </c>
      <c r="AP60" s="294">
        <f>AN60-AO60</f>
        <v>3.3199999999999896E-3</v>
      </c>
      <c r="AQ60" s="40" t="s">
        <v>75</v>
      </c>
      <c r="AR60" s="285">
        <v>570366</v>
      </c>
      <c r="AS60" s="233">
        <v>128</v>
      </c>
      <c r="AT60" s="28">
        <v>200</v>
      </c>
      <c r="AU60" s="34">
        <v>1000000</v>
      </c>
      <c r="AV60" s="278">
        <v>6</v>
      </c>
      <c r="AW60" s="278">
        <v>8</v>
      </c>
      <c r="AX60" s="278">
        <v>1.1000000000000001</v>
      </c>
      <c r="AY60" s="281">
        <v>0.31</v>
      </c>
      <c r="AZ60" s="61">
        <v>21.4</v>
      </c>
      <c r="BA60" s="271">
        <v>21.4</v>
      </c>
      <c r="BB60" s="31">
        <v>59</v>
      </c>
      <c r="BC60" s="42" t="s">
        <v>76</v>
      </c>
      <c r="BD60" s="29"/>
      <c r="BE60" s="30" t="str">
        <f t="shared" si="21"/>
        <v>ST</v>
      </c>
      <c r="BF60" s="30" t="str">
        <f t="shared" si="22"/>
        <v>PMMA</v>
      </c>
      <c r="BG60" s="30" t="str">
        <f t="shared" si="23"/>
        <v>P</v>
      </c>
      <c r="BH60" s="30" t="str">
        <f t="shared" si="24"/>
        <v>M</v>
      </c>
      <c r="BI60" s="30" t="str">
        <f t="shared" si="25"/>
        <v>S</v>
      </c>
      <c r="BJ60" s="13"/>
      <c r="BK60" s="49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CE60" s="15" t="s">
        <v>466</v>
      </c>
    </row>
    <row r="61" spans="1:84">
      <c r="A61" s="25" t="str">
        <f t="shared" si="14"/>
        <v>HVIL002-HPC-RT-S2-S10.0-0056</v>
      </c>
      <c r="B61" s="48">
        <v>44054.520833333336</v>
      </c>
      <c r="C61" s="632"/>
      <c r="D61" s="632"/>
      <c r="E61" s="632"/>
      <c r="F61" s="50">
        <v>56</v>
      </c>
      <c r="G61" s="44" t="s">
        <v>129</v>
      </c>
      <c r="H61" s="37" t="s">
        <v>66</v>
      </c>
      <c r="I61" s="37" t="s">
        <v>130</v>
      </c>
      <c r="J61" s="37" t="s">
        <v>131</v>
      </c>
      <c r="K61" s="39">
        <v>10</v>
      </c>
      <c r="L61" s="39">
        <v>10</v>
      </c>
      <c r="M61" s="39">
        <v>1</v>
      </c>
      <c r="N61" s="31">
        <v>4.0599999999999996</v>
      </c>
      <c r="O61" s="63">
        <f>6.057-0.018</f>
        <v>6.0390000000000006</v>
      </c>
      <c r="P61" s="37" t="s">
        <v>69</v>
      </c>
      <c r="Q61" s="53">
        <f>62381800/1000000</f>
        <v>62.381799999999998</v>
      </c>
      <c r="R61" s="53">
        <v>147.440843</v>
      </c>
      <c r="S61" s="457">
        <f t="shared" si="27"/>
        <v>2034.7143565911379</v>
      </c>
      <c r="T61" s="537" t="s">
        <v>68</v>
      </c>
      <c r="U61" s="60">
        <v>1.76</v>
      </c>
      <c r="V61" s="60">
        <v>60.08</v>
      </c>
      <c r="W61" s="60">
        <v>0.02</v>
      </c>
      <c r="X61" s="60">
        <v>363.42500000000001</v>
      </c>
      <c r="Y61" s="31">
        <v>200</v>
      </c>
      <c r="Z61" s="37" t="s">
        <v>71</v>
      </c>
      <c r="AA61" s="31">
        <v>250</v>
      </c>
      <c r="AB61" s="39" t="s">
        <v>132</v>
      </c>
      <c r="AC61" s="41">
        <v>0</v>
      </c>
      <c r="AD61" s="41" t="s">
        <v>73</v>
      </c>
      <c r="AE61" s="41" t="s">
        <v>133</v>
      </c>
      <c r="AF61" s="40" t="str">
        <f t="shared" si="6"/>
        <v>N/A</v>
      </c>
      <c r="AG61" s="40" t="str">
        <f t="shared" si="6"/>
        <v>N/A</v>
      </c>
      <c r="AH61" s="41" t="s">
        <v>146</v>
      </c>
      <c r="AI61" s="40" t="str">
        <f t="shared" si="7"/>
        <v>N/A</v>
      </c>
      <c r="AJ61" s="40" t="s">
        <v>73</v>
      </c>
      <c r="AK61" s="40" t="str">
        <f t="shared" si="17"/>
        <v>N/A</v>
      </c>
      <c r="AL61" s="40" t="s">
        <v>70</v>
      </c>
      <c r="AM61" s="40" t="str">
        <f t="shared" si="17"/>
        <v>N/A</v>
      </c>
      <c r="AN61" s="294">
        <v>26.59</v>
      </c>
      <c r="AO61" s="294" t="s">
        <v>68</v>
      </c>
      <c r="AP61" s="294" t="s">
        <v>68</v>
      </c>
      <c r="AQ61" s="40" t="s">
        <v>75</v>
      </c>
      <c r="AR61" s="285">
        <v>493175</v>
      </c>
      <c r="AS61" s="490">
        <v>128</v>
      </c>
      <c r="AT61" s="28">
        <v>200</v>
      </c>
      <c r="AU61" s="34">
        <v>1000000</v>
      </c>
      <c r="AV61" s="278"/>
      <c r="AW61" s="278"/>
      <c r="AX61" s="278"/>
      <c r="AY61" s="281"/>
      <c r="AZ61" s="61">
        <v>21.4</v>
      </c>
      <c r="BA61" s="271">
        <v>21.4</v>
      </c>
      <c r="BB61" s="31">
        <v>59</v>
      </c>
      <c r="BC61" s="42" t="s">
        <v>76</v>
      </c>
      <c r="BD61" s="29"/>
      <c r="BE61" s="30" t="str">
        <f t="shared" si="21"/>
        <v>S2</v>
      </c>
      <c r="BF61" s="30" t="str">
        <f t="shared" si="22"/>
        <v>HPC</v>
      </c>
      <c r="BG61" s="30" t="str">
        <f t="shared" si="23"/>
        <v>C</v>
      </c>
      <c r="BH61" s="30" t="str">
        <f t="shared" si="24"/>
        <v>M</v>
      </c>
      <c r="BI61" s="30" t="str">
        <f t="shared" si="25"/>
        <v>S</v>
      </c>
      <c r="BJ61" s="13"/>
      <c r="BK61" s="49"/>
      <c r="BL61" s="13"/>
      <c r="BM61" s="13"/>
      <c r="BN61" s="13"/>
      <c r="BO61" s="13"/>
      <c r="BP61" s="13"/>
      <c r="BQ61" s="13"/>
      <c r="BR61" s="13"/>
      <c r="BS61" s="13"/>
      <c r="BT61" s="13"/>
      <c r="BU61" s="13"/>
    </row>
    <row r="62" spans="1:84">
      <c r="A62" s="25" t="str">
        <f t="shared" si="14"/>
        <v>HVIL004-PMMA-RT-NY-S04.0-0057</v>
      </c>
      <c r="B62" s="48">
        <v>44054.604166666664</v>
      </c>
      <c r="C62" s="632"/>
      <c r="D62" s="632"/>
      <c r="E62" s="632"/>
      <c r="F62" s="50">
        <v>57</v>
      </c>
      <c r="G62" s="44" t="s">
        <v>147</v>
      </c>
      <c r="H62" s="37" t="s">
        <v>83</v>
      </c>
      <c r="I62" s="37" t="s">
        <v>148</v>
      </c>
      <c r="J62" s="37" t="s">
        <v>149</v>
      </c>
      <c r="K62" s="39">
        <v>4</v>
      </c>
      <c r="L62" s="39">
        <v>4</v>
      </c>
      <c r="M62" s="39">
        <v>1</v>
      </c>
      <c r="N62" s="31">
        <v>3.5000000000000003E-2</v>
      </c>
      <c r="O62" s="63">
        <f>2.099-0.018</f>
        <v>2.0810000000000004</v>
      </c>
      <c r="P62" s="37" t="s">
        <v>69</v>
      </c>
      <c r="Q62" s="53">
        <f>58978200/1000000</f>
        <v>58.978200000000001</v>
      </c>
      <c r="R62" s="53">
        <v>118.86344</v>
      </c>
      <c r="S62" s="457">
        <f t="shared" si="27"/>
        <v>2523.9047431237059</v>
      </c>
      <c r="T62" s="537" t="s">
        <v>68</v>
      </c>
      <c r="U62" s="60">
        <v>1.7509999999999999</v>
      </c>
      <c r="V62" s="60">
        <v>59.9998</v>
      </c>
      <c r="W62" s="60">
        <v>0.02</v>
      </c>
      <c r="X62" s="60">
        <v>363.47300000000001</v>
      </c>
      <c r="Y62" s="31">
        <v>202</v>
      </c>
      <c r="Z62" s="37" t="s">
        <v>71</v>
      </c>
      <c r="AA62" s="31">
        <v>250</v>
      </c>
      <c r="AB62" s="39" t="s">
        <v>83</v>
      </c>
      <c r="AC62" s="41">
        <v>0</v>
      </c>
      <c r="AD62" s="41" t="s">
        <v>73</v>
      </c>
      <c r="AE62" s="41" t="s">
        <v>139</v>
      </c>
      <c r="AF62" s="40" t="str">
        <f t="shared" si="6"/>
        <v>N/A</v>
      </c>
      <c r="AG62" s="40" t="str">
        <f t="shared" si="6"/>
        <v>N/A</v>
      </c>
      <c r="AH62" s="41" t="s">
        <v>140</v>
      </c>
      <c r="AI62" s="40" t="str">
        <f t="shared" si="7"/>
        <v>N/A</v>
      </c>
      <c r="AJ62" s="40" t="s">
        <v>73</v>
      </c>
      <c r="AK62" s="40" t="str">
        <f t="shared" si="17"/>
        <v>N/A</v>
      </c>
      <c r="AL62" s="40" t="s">
        <v>70</v>
      </c>
      <c r="AM62" s="40" t="str">
        <f t="shared" si="17"/>
        <v>N/A</v>
      </c>
      <c r="AN62" s="294">
        <v>0.15307999999999999</v>
      </c>
      <c r="AO62" s="294">
        <v>0.153</v>
      </c>
      <c r="AP62" s="294">
        <f>AN62-AO62</f>
        <v>7.999999999999674E-5</v>
      </c>
      <c r="AQ62" s="40" t="s">
        <v>75</v>
      </c>
      <c r="AR62" s="285">
        <v>427311</v>
      </c>
      <c r="AS62" s="28">
        <v>128</v>
      </c>
      <c r="AT62" s="28">
        <v>200</v>
      </c>
      <c r="AU62" s="34">
        <v>1000000</v>
      </c>
      <c r="AV62" s="278">
        <v>6</v>
      </c>
      <c r="AW62" s="278">
        <v>8</v>
      </c>
      <c r="AX62" s="278">
        <v>1.1000000000000001</v>
      </c>
      <c r="AY62" s="281"/>
      <c r="AZ62" s="61">
        <v>21.4</v>
      </c>
      <c r="BA62" s="271">
        <v>21.4</v>
      </c>
      <c r="BB62" s="31">
        <v>59</v>
      </c>
      <c r="BC62" s="42" t="s">
        <v>76</v>
      </c>
      <c r="BD62" s="29"/>
      <c r="BE62" s="30" t="str">
        <f t="shared" si="21"/>
        <v>NY</v>
      </c>
      <c r="BF62" s="30" t="str">
        <f t="shared" si="22"/>
        <v>PMMA</v>
      </c>
      <c r="BG62" s="30" t="str">
        <f t="shared" si="23"/>
        <v>P</v>
      </c>
      <c r="BH62" s="30" t="str">
        <f t="shared" si="24"/>
        <v>P</v>
      </c>
      <c r="BI62" s="30" t="str">
        <f t="shared" si="25"/>
        <v>S</v>
      </c>
      <c r="BJ62" s="13"/>
      <c r="BK62" s="49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CE62" s="15">
        <v>150</v>
      </c>
      <c r="CF62" s="15">
        <v>4500</v>
      </c>
    </row>
    <row r="63" spans="1:84">
      <c r="A63" s="25" t="str">
        <f t="shared" si="14"/>
        <v>HVIL001-HDPE-RT-AL-S10.0-0058</v>
      </c>
      <c r="B63" s="48">
        <v>44055.416666666664</v>
      </c>
      <c r="C63" s="632"/>
      <c r="D63" s="632"/>
      <c r="E63" s="632"/>
      <c r="F63" s="51">
        <v>58</v>
      </c>
      <c r="G63" s="44" t="s">
        <v>82</v>
      </c>
      <c r="H63" s="37" t="s">
        <v>66</v>
      </c>
      <c r="I63" s="37" t="s">
        <v>87</v>
      </c>
      <c r="J63" s="37" t="s">
        <v>105</v>
      </c>
      <c r="K63" s="39">
        <v>10</v>
      </c>
      <c r="L63" s="39">
        <v>10</v>
      </c>
      <c r="M63" s="39">
        <v>1</v>
      </c>
      <c r="N63" s="31">
        <v>1.4179999999999999</v>
      </c>
      <c r="O63" s="63">
        <v>3.4</v>
      </c>
      <c r="P63" s="37" t="s">
        <v>69</v>
      </c>
      <c r="Q63" s="53">
        <f>73132100/1000000</f>
        <v>73.132099999999994</v>
      </c>
      <c r="R63" s="53">
        <v>48.846158000000003</v>
      </c>
      <c r="S63" s="457">
        <f t="shared" si="27"/>
        <v>6141.731761175567</v>
      </c>
      <c r="T63" s="537" t="s">
        <v>68</v>
      </c>
      <c r="U63" s="60">
        <v>1.7490000000000001</v>
      </c>
      <c r="V63" s="60">
        <v>150.00200000000001</v>
      </c>
      <c r="W63" s="60">
        <v>0.02</v>
      </c>
      <c r="X63" s="60">
        <v>363.52</v>
      </c>
      <c r="Y63" s="31">
        <v>201</v>
      </c>
      <c r="Z63" s="37" t="s">
        <v>71</v>
      </c>
      <c r="AA63" s="31">
        <v>221</v>
      </c>
      <c r="AB63" s="39" t="s">
        <v>83</v>
      </c>
      <c r="AC63" s="41">
        <v>0</v>
      </c>
      <c r="AD63" s="41" t="s">
        <v>73</v>
      </c>
      <c r="AE63" s="41" t="s">
        <v>100</v>
      </c>
      <c r="AF63" s="40" t="str">
        <f t="shared" si="6"/>
        <v>N/A</v>
      </c>
      <c r="AG63" s="40" t="str">
        <f t="shared" si="6"/>
        <v>N/A</v>
      </c>
      <c r="AH63" s="41" t="s">
        <v>102</v>
      </c>
      <c r="AI63" s="40" t="str">
        <f t="shared" si="7"/>
        <v>N/A</v>
      </c>
      <c r="AJ63" s="40" t="s">
        <v>73</v>
      </c>
      <c r="AK63" s="40" t="str">
        <f t="shared" si="17"/>
        <v>N/A</v>
      </c>
      <c r="AL63" s="40" t="s">
        <v>70</v>
      </c>
      <c r="AM63" s="40" t="str">
        <f t="shared" si="17"/>
        <v>N/A</v>
      </c>
      <c r="AN63" s="294">
        <v>0.54139000000000004</v>
      </c>
      <c r="AO63" s="294" t="s">
        <v>68</v>
      </c>
      <c r="AP63" s="294" t="s">
        <v>68</v>
      </c>
      <c r="AQ63" s="40" t="s">
        <v>75</v>
      </c>
      <c r="AR63" s="285">
        <v>153761</v>
      </c>
      <c r="AS63" s="28">
        <v>128</v>
      </c>
      <c r="AT63" s="28">
        <v>200</v>
      </c>
      <c r="AU63" s="34">
        <v>1000000</v>
      </c>
      <c r="AV63" s="278">
        <v>6</v>
      </c>
      <c r="AW63" s="278">
        <v>8</v>
      </c>
      <c r="AX63" s="278">
        <v>1.1000000000000001</v>
      </c>
      <c r="AY63" s="281"/>
      <c r="AZ63" s="61">
        <v>21.1</v>
      </c>
      <c r="BA63" s="271">
        <v>21.1</v>
      </c>
      <c r="BB63" s="31">
        <v>58</v>
      </c>
      <c r="BC63" s="42" t="s">
        <v>73</v>
      </c>
      <c r="BD63" s="29"/>
      <c r="BE63" s="30" t="str">
        <f t="shared" si="21"/>
        <v>AL</v>
      </c>
      <c r="BF63" s="30" t="str">
        <f t="shared" si="22"/>
        <v>HDPE</v>
      </c>
      <c r="BG63" s="30" t="str">
        <f t="shared" si="23"/>
        <v>P</v>
      </c>
      <c r="BH63" s="30" t="str">
        <f t="shared" si="24"/>
        <v>M</v>
      </c>
      <c r="BI63" s="30" t="str">
        <f t="shared" si="25"/>
        <v>S</v>
      </c>
      <c r="BJ63" s="13"/>
      <c r="BK63" s="49" t="s">
        <v>150</v>
      </c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CE63" s="15">
        <v>150</v>
      </c>
      <c r="CF63" s="15">
        <v>3500</v>
      </c>
    </row>
    <row r="64" spans="1:84" ht="15">
      <c r="A64" s="635" t="str">
        <f t="shared" si="14"/>
        <v>HVIL001-HDPE-RT-AL-S10.0-0059</v>
      </c>
      <c r="B64" s="48">
        <v>44055.479166666664</v>
      </c>
      <c r="C64" s="632"/>
      <c r="D64" s="632"/>
      <c r="E64" s="632"/>
      <c r="F64" s="50">
        <v>59</v>
      </c>
      <c r="G64" s="44" t="s">
        <v>82</v>
      </c>
      <c r="H64" s="37" t="s">
        <v>66</v>
      </c>
      <c r="I64" s="37" t="s">
        <v>87</v>
      </c>
      <c r="J64" s="37" t="s">
        <v>105</v>
      </c>
      <c r="K64" s="39">
        <v>10</v>
      </c>
      <c r="L64" s="39">
        <v>10</v>
      </c>
      <c r="M64" s="39">
        <v>1</v>
      </c>
      <c r="N64" s="31">
        <v>1.4059999999999999</v>
      </c>
      <c r="O64" s="63">
        <f>3.402-0.016</f>
        <v>3.3860000000000001</v>
      </c>
      <c r="P64" s="37" t="s">
        <v>69</v>
      </c>
      <c r="Q64" s="53">
        <f>98717500/1000000</f>
        <v>98.717500000000001</v>
      </c>
      <c r="R64" s="53">
        <v>47.082974</v>
      </c>
      <c r="S64" s="457">
        <f t="shared" si="27"/>
        <v>6371.7300440707077</v>
      </c>
      <c r="T64" s="537" t="s">
        <v>68</v>
      </c>
      <c r="U64" s="60">
        <v>1.7490000000000001</v>
      </c>
      <c r="V64" s="60">
        <v>150.08000000000001</v>
      </c>
      <c r="W64" s="60">
        <v>0.02</v>
      </c>
      <c r="X64" s="60">
        <v>363.93099999999998</v>
      </c>
      <c r="Y64" s="31">
        <v>76</v>
      </c>
      <c r="Z64" s="37" t="s">
        <v>71</v>
      </c>
      <c r="AA64" s="31">
        <v>221</v>
      </c>
      <c r="AB64" s="39" t="s">
        <v>83</v>
      </c>
      <c r="AC64" s="41">
        <v>0</v>
      </c>
      <c r="AD64" s="41" t="s">
        <v>73</v>
      </c>
      <c r="AE64" s="41" t="s">
        <v>100</v>
      </c>
      <c r="AF64" s="40" t="str">
        <f t="shared" si="6"/>
        <v>N/A</v>
      </c>
      <c r="AG64" s="40" t="str">
        <f t="shared" si="6"/>
        <v>N/A</v>
      </c>
      <c r="AH64" s="41" t="s">
        <v>102</v>
      </c>
      <c r="AI64" s="40" t="str">
        <f t="shared" si="7"/>
        <v>N/A</v>
      </c>
      <c r="AJ64" s="40" t="s">
        <v>73</v>
      </c>
      <c r="AK64" s="40" t="str">
        <f t="shared" si="17"/>
        <v>N/A</v>
      </c>
      <c r="AL64" s="40" t="s">
        <v>70</v>
      </c>
      <c r="AM64" s="40" t="str">
        <f t="shared" si="17"/>
        <v>N/A</v>
      </c>
      <c r="AN64" s="294">
        <v>0.55106999999999995</v>
      </c>
      <c r="AO64" s="294">
        <v>0.54795000000000005</v>
      </c>
      <c r="AP64" s="294">
        <f t="shared" ref="AP64:AP69" si="28">AN64-AO64</f>
        <v>3.1199999999999006E-3</v>
      </c>
      <c r="AQ64" s="40" t="s">
        <v>75</v>
      </c>
      <c r="AR64" s="285">
        <v>169356</v>
      </c>
      <c r="AS64" s="28">
        <v>128</v>
      </c>
      <c r="AT64" s="28">
        <v>200</v>
      </c>
      <c r="AU64" s="34">
        <v>1000000</v>
      </c>
      <c r="AV64" s="278">
        <v>6</v>
      </c>
      <c r="AW64" s="278">
        <v>8</v>
      </c>
      <c r="AX64" s="278">
        <v>1.1000000000000001</v>
      </c>
      <c r="AY64" s="281"/>
      <c r="AZ64" s="61">
        <v>21.8</v>
      </c>
      <c r="BA64" s="271">
        <v>21.8</v>
      </c>
      <c r="BB64" s="31">
        <v>58</v>
      </c>
      <c r="BC64" s="42" t="s">
        <v>76</v>
      </c>
      <c r="BD64" s="29"/>
      <c r="BE64" s="30" t="str">
        <f t="shared" si="21"/>
        <v>AL</v>
      </c>
      <c r="BF64" s="30" t="str">
        <f t="shared" si="22"/>
        <v>HDPE</v>
      </c>
      <c r="BG64" s="30" t="str">
        <f t="shared" si="23"/>
        <v>P</v>
      </c>
      <c r="BH64" s="30" t="str">
        <f t="shared" si="24"/>
        <v>M</v>
      </c>
      <c r="BI64" s="30" t="str">
        <f t="shared" si="25"/>
        <v>S</v>
      </c>
      <c r="BJ64" s="13"/>
      <c r="BK64" s="49" t="s">
        <v>125</v>
      </c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CE64" s="15">
        <v>250</v>
      </c>
      <c r="CF64" s="15">
        <v>2000</v>
      </c>
    </row>
    <row r="65" spans="1:84">
      <c r="A65" s="25" t="str">
        <f t="shared" si="14"/>
        <v>HVIL002-HPC-RT-S2-S10.0-0060</v>
      </c>
      <c r="B65" s="48">
        <v>44055.5625</v>
      </c>
      <c r="C65" s="632"/>
      <c r="D65" s="632"/>
      <c r="E65" s="632"/>
      <c r="F65" s="50">
        <v>60</v>
      </c>
      <c r="G65" s="44" t="s">
        <v>129</v>
      </c>
      <c r="H65" s="37" t="s">
        <v>66</v>
      </c>
      <c r="I65" s="37" t="s">
        <v>130</v>
      </c>
      <c r="J65" s="37" t="s">
        <v>131</v>
      </c>
      <c r="K65" s="39">
        <v>10</v>
      </c>
      <c r="L65" s="39">
        <v>10</v>
      </c>
      <c r="M65" s="39">
        <v>1</v>
      </c>
      <c r="N65" s="31">
        <v>4.0609999999999999</v>
      </c>
      <c r="O65" s="63">
        <v>6.0330000000000004</v>
      </c>
      <c r="P65" s="37" t="s">
        <v>69</v>
      </c>
      <c r="Q65" s="468">
        <f>79944200/1000000</f>
        <v>79.944199999999995</v>
      </c>
      <c r="R65" s="53">
        <v>149.76978399999999</v>
      </c>
      <c r="S65" s="457">
        <f t="shared" si="27"/>
        <v>2003.0742649665569</v>
      </c>
      <c r="T65" s="537" t="s">
        <v>68</v>
      </c>
      <c r="U65" s="60">
        <v>1.748</v>
      </c>
      <c r="V65" s="60">
        <v>60.378999999999998</v>
      </c>
      <c r="W65" s="60">
        <v>0.02</v>
      </c>
      <c r="X65" s="60">
        <v>364.12099999999998</v>
      </c>
      <c r="Y65" s="31">
        <v>199</v>
      </c>
      <c r="Z65" s="37" t="s">
        <v>71</v>
      </c>
      <c r="AA65" s="31">
        <v>249</v>
      </c>
      <c r="AB65" s="39" t="s">
        <v>132</v>
      </c>
      <c r="AC65" s="41">
        <v>0</v>
      </c>
      <c r="AD65" s="41" t="s">
        <v>73</v>
      </c>
      <c r="AE65" s="41" t="s">
        <v>133</v>
      </c>
      <c r="AF65" s="40" t="str">
        <f t="shared" si="6"/>
        <v>N/A</v>
      </c>
      <c r="AG65" s="40" t="str">
        <f t="shared" si="6"/>
        <v>N/A</v>
      </c>
      <c r="AH65" s="41" t="s">
        <v>151</v>
      </c>
      <c r="AI65" s="40" t="str">
        <f t="shared" si="7"/>
        <v>N/A</v>
      </c>
      <c r="AJ65" s="40" t="s">
        <v>73</v>
      </c>
      <c r="AK65" s="40" t="str">
        <f t="shared" si="17"/>
        <v>N/A</v>
      </c>
      <c r="AL65" s="40" t="s">
        <v>70</v>
      </c>
      <c r="AM65" s="40" t="str">
        <f t="shared" si="17"/>
        <v>N/A</v>
      </c>
      <c r="AN65" s="294">
        <v>4.5954600000000001</v>
      </c>
      <c r="AO65" s="294">
        <v>4.3051599999999999</v>
      </c>
      <c r="AP65" s="294">
        <f t="shared" si="28"/>
        <v>0.29030000000000022</v>
      </c>
      <c r="AQ65" s="40" t="s">
        <v>75</v>
      </c>
      <c r="AR65" s="285">
        <v>538133</v>
      </c>
      <c r="AS65" s="28">
        <v>128</v>
      </c>
      <c r="AT65" s="28">
        <v>200</v>
      </c>
      <c r="AU65" s="34">
        <v>1000000</v>
      </c>
      <c r="AV65" s="278">
        <v>6</v>
      </c>
      <c r="AW65" s="278">
        <v>8</v>
      </c>
      <c r="AX65" s="278">
        <v>1.1000000000000001</v>
      </c>
      <c r="AY65" s="281"/>
      <c r="AZ65" s="61">
        <v>21.6</v>
      </c>
      <c r="BA65" s="271">
        <v>21.6</v>
      </c>
      <c r="BB65" s="31">
        <v>57</v>
      </c>
      <c r="BC65" s="42" t="s">
        <v>76</v>
      </c>
      <c r="BD65" s="29"/>
      <c r="BE65" s="30" t="str">
        <f t="shared" si="21"/>
        <v>S2</v>
      </c>
      <c r="BF65" s="30" t="str">
        <f t="shared" si="22"/>
        <v>HPC</v>
      </c>
      <c r="BG65" s="30" t="str">
        <f t="shared" si="23"/>
        <v>C</v>
      </c>
      <c r="BH65" s="30" t="str">
        <f t="shared" si="24"/>
        <v>M</v>
      </c>
      <c r="BI65" s="30" t="str">
        <f t="shared" si="25"/>
        <v>S</v>
      </c>
      <c r="BJ65" s="13"/>
      <c r="BK65" s="49" t="s">
        <v>152</v>
      </c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CE65" s="15">
        <v>150</v>
      </c>
      <c r="CF65" s="15">
        <v>2750</v>
      </c>
    </row>
    <row r="66" spans="1:84">
      <c r="A66" s="25" t="str">
        <f t="shared" si="14"/>
        <v>HVIL001-UHMWPE-RT-AL-S10.0-0061</v>
      </c>
      <c r="B66" s="48">
        <v>44056.46875</v>
      </c>
      <c r="C66" s="632"/>
      <c r="D66" s="632"/>
      <c r="E66" s="632"/>
      <c r="F66" s="51">
        <v>61</v>
      </c>
      <c r="G66" s="44" t="s">
        <v>82</v>
      </c>
      <c r="H66" s="37" t="s">
        <v>66</v>
      </c>
      <c r="I66" s="37" t="s">
        <v>87</v>
      </c>
      <c r="J66" s="37" t="s">
        <v>105</v>
      </c>
      <c r="K66" s="39">
        <v>10</v>
      </c>
      <c r="L66" s="39">
        <v>10</v>
      </c>
      <c r="M66" s="39">
        <v>1</v>
      </c>
      <c r="N66" s="31">
        <v>1.415</v>
      </c>
      <c r="O66" s="63">
        <f>1.415+2.001-0.017</f>
        <v>3.399</v>
      </c>
      <c r="P66" s="37" t="s">
        <v>69</v>
      </c>
      <c r="Q66" s="53">
        <f>48040100/1000000</f>
        <v>48.040100000000002</v>
      </c>
      <c r="R66" s="53">
        <v>47.300373</v>
      </c>
      <c r="S66" s="457">
        <f t="shared" si="27"/>
        <v>6342.4446991147406</v>
      </c>
      <c r="T66" s="537" t="s">
        <v>68</v>
      </c>
      <c r="U66" s="60">
        <v>1.7509999999999999</v>
      </c>
      <c r="V66" s="60">
        <v>150.02799999999999</v>
      </c>
      <c r="W66" s="60">
        <v>0.02</v>
      </c>
      <c r="X66" s="60">
        <v>363.22300000000001</v>
      </c>
      <c r="Y66" s="31">
        <v>75</v>
      </c>
      <c r="Z66" s="37" t="s">
        <v>71</v>
      </c>
      <c r="AA66" s="31">
        <v>220</v>
      </c>
      <c r="AB66" s="39" t="s">
        <v>83</v>
      </c>
      <c r="AC66" s="41">
        <v>0</v>
      </c>
      <c r="AD66" s="41" t="s">
        <v>73</v>
      </c>
      <c r="AE66" s="41" t="s">
        <v>108</v>
      </c>
      <c r="AF66" s="40" t="str">
        <f t="shared" si="6"/>
        <v>N/A</v>
      </c>
      <c r="AG66" s="40" t="str">
        <f t="shared" si="6"/>
        <v>N/A</v>
      </c>
      <c r="AH66" s="41" t="s">
        <v>109</v>
      </c>
      <c r="AI66" s="40" t="str">
        <f t="shared" si="7"/>
        <v>N/A</v>
      </c>
      <c r="AJ66" s="40" t="s">
        <v>73</v>
      </c>
      <c r="AK66" s="40" t="str">
        <f t="shared" si="17"/>
        <v>N/A</v>
      </c>
      <c r="AL66" s="40" t="s">
        <v>70</v>
      </c>
      <c r="AM66" s="40" t="str">
        <f t="shared" si="17"/>
        <v>N/A</v>
      </c>
      <c r="AN66" s="294">
        <v>0.5736</v>
      </c>
      <c r="AO66" s="294">
        <v>0.56989999999999996</v>
      </c>
      <c r="AP66" s="294">
        <f t="shared" si="28"/>
        <v>3.7000000000000366E-3</v>
      </c>
      <c r="AQ66" s="40" t="s">
        <v>75</v>
      </c>
      <c r="AR66" s="285">
        <v>148863</v>
      </c>
      <c r="AS66" s="28">
        <v>128</v>
      </c>
      <c r="AT66" s="28">
        <v>200</v>
      </c>
      <c r="AU66" s="34">
        <v>1000000</v>
      </c>
      <c r="AV66" s="278">
        <v>6</v>
      </c>
      <c r="AW66" s="278">
        <v>8</v>
      </c>
      <c r="AX66" s="278">
        <v>1.1000000000000001</v>
      </c>
      <c r="AY66" s="281"/>
      <c r="AZ66" s="61">
        <v>21.8</v>
      </c>
      <c r="BA66" s="271">
        <v>21.8</v>
      </c>
      <c r="BB66" s="31">
        <v>57</v>
      </c>
      <c r="BC66" s="42" t="s">
        <v>76</v>
      </c>
      <c r="BD66" s="29"/>
      <c r="BE66" s="30" t="str">
        <f t="shared" si="21"/>
        <v>AL</v>
      </c>
      <c r="BF66" s="30" t="str">
        <f t="shared" si="22"/>
        <v>UHMWPE</v>
      </c>
      <c r="BG66" s="30" t="str">
        <f t="shared" si="23"/>
        <v>P</v>
      </c>
      <c r="BH66" s="30" t="str">
        <f t="shared" si="24"/>
        <v>M</v>
      </c>
      <c r="BI66" s="30" t="str">
        <f t="shared" si="25"/>
        <v>S</v>
      </c>
      <c r="BJ66" s="13"/>
      <c r="BK66" s="49" t="s">
        <v>153</v>
      </c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CE66" s="15">
        <v>250</v>
      </c>
      <c r="CF66" s="15">
        <v>3000</v>
      </c>
    </row>
    <row r="67" spans="1:84">
      <c r="A67" s="25" t="str">
        <f t="shared" si="14"/>
        <v>HVIL002-HPC-RT-S2-S10.0-0062</v>
      </c>
      <c r="B67" s="48">
        <v>44056.541666666664</v>
      </c>
      <c r="C67" s="632"/>
      <c r="D67" s="632"/>
      <c r="E67" s="632"/>
      <c r="F67" s="50">
        <v>62</v>
      </c>
      <c r="G67" s="44" t="s">
        <v>129</v>
      </c>
      <c r="H67" s="37" t="s">
        <v>66</v>
      </c>
      <c r="I67" s="37" t="s">
        <v>130</v>
      </c>
      <c r="J67" s="37" t="s">
        <v>131</v>
      </c>
      <c r="K67" s="39">
        <v>10</v>
      </c>
      <c r="L67" s="39">
        <v>10</v>
      </c>
      <c r="M67" s="39">
        <v>1</v>
      </c>
      <c r="N67" s="31">
        <v>4.0570000000000004</v>
      </c>
      <c r="O67" s="63">
        <f>6.055-0.02</f>
        <v>6.0350000000000001</v>
      </c>
      <c r="P67" s="37" t="s">
        <v>69</v>
      </c>
      <c r="Q67" s="53">
        <f>78673600/1000000</f>
        <v>78.673599999999993</v>
      </c>
      <c r="R67" s="53">
        <v>144.02828700000001</v>
      </c>
      <c r="S67" s="457">
        <f t="shared" si="27"/>
        <v>2082.9241689169016</v>
      </c>
      <c r="T67" s="537" t="s">
        <v>68</v>
      </c>
      <c r="U67" s="60">
        <v>1.7569999999999999</v>
      </c>
      <c r="V67" s="60">
        <v>60.176000000000002</v>
      </c>
      <c r="W67" s="60">
        <v>0.02</v>
      </c>
      <c r="X67" s="60">
        <v>363.96699999999998</v>
      </c>
      <c r="Y67" s="31">
        <v>199</v>
      </c>
      <c r="Z67" s="37" t="s">
        <v>71</v>
      </c>
      <c r="AA67" s="31">
        <v>249</v>
      </c>
      <c r="AB67" s="39" t="s">
        <v>132</v>
      </c>
      <c r="AC67" s="41">
        <v>0</v>
      </c>
      <c r="AD67" s="41" t="s">
        <v>73</v>
      </c>
      <c r="AE67" s="41" t="s">
        <v>133</v>
      </c>
      <c r="AF67" s="40" t="str">
        <f t="shared" si="6"/>
        <v>N/A</v>
      </c>
      <c r="AG67" s="40" t="str">
        <f t="shared" si="6"/>
        <v>N/A</v>
      </c>
      <c r="AH67" s="41" t="s">
        <v>151</v>
      </c>
      <c r="AI67" s="40" t="str">
        <f t="shared" si="7"/>
        <v>N/A</v>
      </c>
      <c r="AJ67" s="40" t="s">
        <v>73</v>
      </c>
      <c r="AK67" s="40" t="str">
        <f t="shared" si="17"/>
        <v>N/A</v>
      </c>
      <c r="AL67" s="40" t="s">
        <v>70</v>
      </c>
      <c r="AM67" s="40" t="str">
        <f t="shared" si="17"/>
        <v>N/A</v>
      </c>
      <c r="AN67" s="294">
        <v>4.4935299999999998</v>
      </c>
      <c r="AO67" s="294">
        <v>4.2259900000000004</v>
      </c>
      <c r="AP67" s="294">
        <f t="shared" si="28"/>
        <v>0.26753999999999944</v>
      </c>
      <c r="AQ67" s="40" t="s">
        <v>75</v>
      </c>
      <c r="AR67" s="285">
        <v>143981</v>
      </c>
      <c r="AS67" s="28">
        <v>128</v>
      </c>
      <c r="AT67" s="28">
        <v>200</v>
      </c>
      <c r="AU67" s="34">
        <v>1000000</v>
      </c>
      <c r="AV67" s="278">
        <v>6</v>
      </c>
      <c r="AW67" s="278">
        <v>8</v>
      </c>
      <c r="AX67" s="278">
        <v>1.1000000000000001</v>
      </c>
      <c r="AY67" s="281"/>
      <c r="AZ67" s="61">
        <v>21.9</v>
      </c>
      <c r="BA67" s="271">
        <v>21.9</v>
      </c>
      <c r="BB67" s="31">
        <v>57</v>
      </c>
      <c r="BC67" s="42" t="s">
        <v>76</v>
      </c>
      <c r="BD67" s="29"/>
      <c r="BE67" s="30" t="str">
        <f t="shared" si="21"/>
        <v>S2</v>
      </c>
      <c r="BF67" s="30" t="str">
        <f t="shared" si="22"/>
        <v>HPC</v>
      </c>
      <c r="BG67" s="30" t="str">
        <f t="shared" si="23"/>
        <v>C</v>
      </c>
      <c r="BH67" s="30" t="str">
        <f t="shared" si="24"/>
        <v>M</v>
      </c>
      <c r="BI67" s="30" t="str">
        <f t="shared" si="25"/>
        <v>S</v>
      </c>
      <c r="BJ67" s="13"/>
      <c r="BK67" s="49" t="s">
        <v>154</v>
      </c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CE67" s="15">
        <v>75</v>
      </c>
      <c r="CF67" s="15">
        <v>5000</v>
      </c>
    </row>
    <row r="68" spans="1:84">
      <c r="A68" s="25" t="str">
        <f t="shared" si="14"/>
        <v>HVIL001-UHMWPE-RT-AL-S10.0-0063</v>
      </c>
      <c r="B68" s="48">
        <v>44089.604166666664</v>
      </c>
      <c r="C68" s="632"/>
      <c r="D68" s="632"/>
      <c r="E68" s="632"/>
      <c r="F68" s="50">
        <v>63</v>
      </c>
      <c r="G68" s="44" t="s">
        <v>82</v>
      </c>
      <c r="H68" s="37" t="s">
        <v>66</v>
      </c>
      <c r="I68" s="37" t="s">
        <v>87</v>
      </c>
      <c r="J68" s="37" t="s">
        <v>105</v>
      </c>
      <c r="K68" s="39">
        <v>10</v>
      </c>
      <c r="L68" s="39">
        <v>10</v>
      </c>
      <c r="M68" s="39">
        <v>1</v>
      </c>
      <c r="N68" s="31">
        <v>1.415</v>
      </c>
      <c r="O68" s="63">
        <v>3.399</v>
      </c>
      <c r="P68" s="37" t="s">
        <v>69</v>
      </c>
      <c r="Q68" s="468">
        <f>80464400/1000000</f>
        <v>80.464399999999998</v>
      </c>
      <c r="R68" s="53">
        <v>138.68803</v>
      </c>
      <c r="S68" s="457">
        <f t="shared" si="27"/>
        <v>2163.1282815106683</v>
      </c>
      <c r="T68" s="537" t="s">
        <v>68</v>
      </c>
      <c r="U68" s="60">
        <v>1.7509999999999999</v>
      </c>
      <c r="V68" s="60">
        <v>60.045999999999999</v>
      </c>
      <c r="W68" s="60">
        <v>0.02</v>
      </c>
      <c r="X68" s="60">
        <v>363.49</v>
      </c>
      <c r="Y68" s="31">
        <v>199</v>
      </c>
      <c r="Z68" s="37" t="s">
        <v>71</v>
      </c>
      <c r="AA68" s="31">
        <v>249</v>
      </c>
      <c r="AB68" s="39" t="s">
        <v>83</v>
      </c>
      <c r="AC68" s="41">
        <v>0</v>
      </c>
      <c r="AD68" s="41" t="s">
        <v>73</v>
      </c>
      <c r="AE68" s="41" t="s">
        <v>108</v>
      </c>
      <c r="AF68" s="40" t="str">
        <f t="shared" si="6"/>
        <v>N/A</v>
      </c>
      <c r="AG68" s="40" t="str">
        <f t="shared" si="6"/>
        <v>N/A</v>
      </c>
      <c r="AH68" s="41" t="s">
        <v>109</v>
      </c>
      <c r="AI68" s="40" t="str">
        <f t="shared" si="7"/>
        <v>N/A</v>
      </c>
      <c r="AJ68" s="40" t="s">
        <v>73</v>
      </c>
      <c r="AK68" s="40" t="str">
        <f t="shared" si="17"/>
        <v>N/A</v>
      </c>
      <c r="AL68" s="40" t="s">
        <v>70</v>
      </c>
      <c r="AM68" s="40" t="str">
        <f t="shared" si="17"/>
        <v>N/A</v>
      </c>
      <c r="AN68" s="294">
        <v>0.57765999999999995</v>
      </c>
      <c r="AO68" s="294">
        <v>0.57615000000000005</v>
      </c>
      <c r="AP68" s="294">
        <f t="shared" si="28"/>
        <v>1.5099999999999003E-3</v>
      </c>
      <c r="AQ68" s="40" t="s">
        <v>75</v>
      </c>
      <c r="AR68" s="285">
        <v>494901</v>
      </c>
      <c r="AS68" s="28">
        <v>128</v>
      </c>
      <c r="AT68" s="28">
        <v>200</v>
      </c>
      <c r="AU68" s="34">
        <v>1000000</v>
      </c>
      <c r="AV68" s="278">
        <v>6</v>
      </c>
      <c r="AW68" s="278">
        <v>8</v>
      </c>
      <c r="AX68" s="278">
        <v>1.1000000000000001</v>
      </c>
      <c r="AY68" s="281"/>
      <c r="AZ68" s="61">
        <v>21.1</v>
      </c>
      <c r="BA68" s="271">
        <v>21.1</v>
      </c>
      <c r="BB68" s="31">
        <v>58</v>
      </c>
      <c r="BC68" s="42" t="s">
        <v>76</v>
      </c>
      <c r="BD68" s="29"/>
      <c r="BE68" s="30" t="str">
        <f t="shared" si="21"/>
        <v>AL</v>
      </c>
      <c r="BF68" s="30" t="str">
        <f t="shared" si="22"/>
        <v>UHMWPE</v>
      </c>
      <c r="BG68" s="30" t="str">
        <f t="shared" si="23"/>
        <v>P</v>
      </c>
      <c r="BH68" s="30" t="str">
        <f t="shared" si="24"/>
        <v>M</v>
      </c>
      <c r="BI68" s="30" t="str">
        <f t="shared" si="25"/>
        <v>S</v>
      </c>
      <c r="BJ68" s="13"/>
      <c r="BK68" s="49"/>
      <c r="BL68" s="13"/>
      <c r="BM68" s="13"/>
      <c r="BN68" s="13"/>
      <c r="BO68" s="13"/>
      <c r="BP68" s="13"/>
      <c r="BQ68" s="13"/>
      <c r="BR68" s="13"/>
      <c r="BS68" s="13"/>
      <c r="BT68" s="13"/>
      <c r="BU68" s="13"/>
    </row>
    <row r="69" spans="1:84" ht="15">
      <c r="A69" s="638" t="str">
        <f t="shared" si="14"/>
        <v>HVIL002-HPC-RT-S2-S10.0-0064</v>
      </c>
      <c r="B69" s="48">
        <v>44091.510416666664</v>
      </c>
      <c r="C69" s="632"/>
      <c r="D69" s="632"/>
      <c r="E69" s="632"/>
      <c r="F69" s="51">
        <v>64</v>
      </c>
      <c r="G69" s="44" t="s">
        <v>129</v>
      </c>
      <c r="H69" s="37" t="s">
        <v>66</v>
      </c>
      <c r="I69" s="37" t="s">
        <v>130</v>
      </c>
      <c r="J69" s="37" t="s">
        <v>131</v>
      </c>
      <c r="K69" s="39">
        <v>10</v>
      </c>
      <c r="L69" s="39">
        <v>10</v>
      </c>
      <c r="M69" s="39">
        <v>1</v>
      </c>
      <c r="N69" s="31">
        <v>4.0670000000000002</v>
      </c>
      <c r="O69" s="63">
        <f>6.073-0.018</f>
        <v>6.0550000000000006</v>
      </c>
      <c r="P69" s="37" t="s">
        <v>69</v>
      </c>
      <c r="Q69" s="53">
        <f>72894400/1000000</f>
        <v>72.894400000000005</v>
      </c>
      <c r="R69" s="53">
        <v>163.99949000000001</v>
      </c>
      <c r="S69" s="457">
        <f t="shared" si="27"/>
        <v>1829.2739812788441</v>
      </c>
      <c r="T69" s="537" t="s">
        <v>68</v>
      </c>
      <c r="U69" s="60">
        <v>1.75</v>
      </c>
      <c r="V69" s="60">
        <v>60.02</v>
      </c>
      <c r="W69" s="60">
        <v>0.02</v>
      </c>
      <c r="X69" s="60">
        <v>363.45</v>
      </c>
      <c r="Y69" s="31">
        <v>199</v>
      </c>
      <c r="Z69" s="37" t="s">
        <v>71</v>
      </c>
      <c r="AA69" s="31">
        <v>250</v>
      </c>
      <c r="AB69" s="39" t="s">
        <v>132</v>
      </c>
      <c r="AC69" s="41">
        <v>0</v>
      </c>
      <c r="AD69" s="41" t="s">
        <v>73</v>
      </c>
      <c r="AE69" s="41" t="s">
        <v>133</v>
      </c>
      <c r="AF69" s="40" t="str">
        <f t="shared" si="6"/>
        <v>N/A</v>
      </c>
      <c r="AG69" s="40" t="str">
        <f t="shared" si="6"/>
        <v>N/A</v>
      </c>
      <c r="AH69" s="41" t="s">
        <v>155</v>
      </c>
      <c r="AI69" s="40" t="str">
        <f t="shared" si="7"/>
        <v>N/A</v>
      </c>
      <c r="AJ69" s="40" t="s">
        <v>73</v>
      </c>
      <c r="AK69" s="40" t="str">
        <f t="shared" si="17"/>
        <v>N/A</v>
      </c>
      <c r="AL69" s="40" t="s">
        <v>70</v>
      </c>
      <c r="AM69" s="40" t="str">
        <f t="shared" si="17"/>
        <v>N/A</v>
      </c>
      <c r="AN69" s="294">
        <v>8.7420000000000009</v>
      </c>
      <c r="AO69" s="294">
        <v>7.5979999999999999</v>
      </c>
      <c r="AP69" s="294">
        <f t="shared" si="28"/>
        <v>1.144000000000001</v>
      </c>
      <c r="AQ69" s="40" t="s">
        <v>75</v>
      </c>
      <c r="AR69" s="285">
        <v>583729</v>
      </c>
      <c r="AS69" s="28">
        <v>256</v>
      </c>
      <c r="AT69" s="28">
        <v>200</v>
      </c>
      <c r="AU69" s="34">
        <v>1000000</v>
      </c>
      <c r="AV69" s="278">
        <v>6</v>
      </c>
      <c r="AW69" s="278">
        <v>5.6</v>
      </c>
      <c r="AX69" s="278">
        <v>1.1000000000000001</v>
      </c>
      <c r="AY69" s="281">
        <v>0.27</v>
      </c>
      <c r="AZ69" s="61">
        <v>21.6</v>
      </c>
      <c r="BA69" s="271">
        <v>21.6</v>
      </c>
      <c r="BB69" s="31">
        <v>57</v>
      </c>
      <c r="BC69" s="42" t="s">
        <v>76</v>
      </c>
      <c r="BD69" s="29"/>
      <c r="BE69" s="30" t="str">
        <f t="shared" si="21"/>
        <v>S2</v>
      </c>
      <c r="BF69" s="30" t="str">
        <f t="shared" si="22"/>
        <v>HPC</v>
      </c>
      <c r="BG69" s="30" t="str">
        <f t="shared" si="23"/>
        <v>C</v>
      </c>
      <c r="BH69" s="30" t="str">
        <f t="shared" si="24"/>
        <v>M</v>
      </c>
      <c r="BI69" s="30" t="str">
        <f t="shared" si="25"/>
        <v>S</v>
      </c>
      <c r="BJ69" s="13"/>
      <c r="BK69" s="49"/>
      <c r="BL69" s="13"/>
      <c r="BM69" s="13"/>
      <c r="BN69" s="13"/>
      <c r="BO69" s="13"/>
      <c r="BP69" s="13"/>
      <c r="BQ69" s="13"/>
      <c r="BR69" s="13"/>
      <c r="BS69" s="13"/>
      <c r="BT69" s="13"/>
      <c r="BU69" s="13"/>
    </row>
    <row r="70" spans="1:84" ht="15">
      <c r="A70" s="635" t="str">
        <f t="shared" si="14"/>
        <v>HVIL002-HPC-RT-S2-S10.0-0065</v>
      </c>
      <c r="B70" s="48">
        <v>44095.5625</v>
      </c>
      <c r="C70" s="632"/>
      <c r="D70" s="632"/>
      <c r="E70" s="632"/>
      <c r="F70" s="50">
        <v>65</v>
      </c>
      <c r="G70" s="44" t="s">
        <v>129</v>
      </c>
      <c r="H70" s="37" t="s">
        <v>66</v>
      </c>
      <c r="I70" s="37" t="s">
        <v>130</v>
      </c>
      <c r="J70" s="37" t="s">
        <v>131</v>
      </c>
      <c r="K70" s="39">
        <v>10</v>
      </c>
      <c r="L70" s="39">
        <v>10</v>
      </c>
      <c r="M70" s="39">
        <v>1</v>
      </c>
      <c r="N70" s="31">
        <v>4.0620000000000003</v>
      </c>
      <c r="O70" s="63">
        <f>6.058-0.018</f>
        <v>6.04</v>
      </c>
      <c r="P70" s="37" t="s">
        <v>69</v>
      </c>
      <c r="Q70" s="53">
        <f>80330400/1000000</f>
        <v>80.330399999999997</v>
      </c>
      <c r="R70" s="53">
        <v>153.61841799999999</v>
      </c>
      <c r="S70" s="457">
        <f t="shared" si="27"/>
        <v>1952.8908310981305</v>
      </c>
      <c r="T70" s="537" t="s">
        <v>68</v>
      </c>
      <c r="U70" s="60">
        <v>1.75</v>
      </c>
      <c r="V70" s="60">
        <v>60.164000000000001</v>
      </c>
      <c r="W70" s="60">
        <v>0.02</v>
      </c>
      <c r="X70" s="60">
        <v>363.91399999999999</v>
      </c>
      <c r="Y70" s="31">
        <v>203</v>
      </c>
      <c r="Z70" s="37" t="s">
        <v>71</v>
      </c>
      <c r="AA70" s="31">
        <v>250</v>
      </c>
      <c r="AB70" s="39" t="s">
        <v>132</v>
      </c>
      <c r="AC70" s="41">
        <v>0</v>
      </c>
      <c r="AD70" s="41" t="s">
        <v>73</v>
      </c>
      <c r="AE70" s="41" t="s">
        <v>133</v>
      </c>
      <c r="AF70" s="40" t="str">
        <f t="shared" si="6"/>
        <v>N/A</v>
      </c>
      <c r="AG70" s="40" t="str">
        <f t="shared" si="6"/>
        <v>N/A</v>
      </c>
      <c r="AH70" s="41" t="s">
        <v>156</v>
      </c>
      <c r="AI70" s="40" t="str">
        <f t="shared" si="7"/>
        <v>N/A</v>
      </c>
      <c r="AJ70" s="40" t="s">
        <v>73</v>
      </c>
      <c r="AK70" s="40" t="str">
        <f t="shared" si="17"/>
        <v>N/A</v>
      </c>
      <c r="AL70" s="40" t="s">
        <v>70</v>
      </c>
      <c r="AM70" s="40" t="str">
        <f t="shared" si="17"/>
        <v>N/A</v>
      </c>
      <c r="AN70" s="294">
        <v>13.34</v>
      </c>
      <c r="AO70" s="294" t="s">
        <v>68</v>
      </c>
      <c r="AP70" s="294" t="s">
        <v>68</v>
      </c>
      <c r="AQ70" s="40" t="s">
        <v>75</v>
      </c>
      <c r="AR70" s="285">
        <v>546795</v>
      </c>
      <c r="AS70" s="28">
        <v>256</v>
      </c>
      <c r="AT70" s="28">
        <v>200</v>
      </c>
      <c r="AU70" s="34">
        <v>1000000</v>
      </c>
      <c r="AV70" s="278">
        <v>6</v>
      </c>
      <c r="AW70" s="278">
        <v>5.6</v>
      </c>
      <c r="AX70" s="278">
        <v>1.1000000000000001</v>
      </c>
      <c r="AY70" s="281">
        <v>0.27</v>
      </c>
      <c r="AZ70" s="61">
        <v>21.5</v>
      </c>
      <c r="BA70" s="271">
        <v>21.5</v>
      </c>
      <c r="BB70" s="31">
        <v>58</v>
      </c>
      <c r="BC70" s="42" t="s">
        <v>76</v>
      </c>
      <c r="BD70" s="29"/>
      <c r="BE70" s="30" t="str">
        <f t="shared" si="21"/>
        <v>S2</v>
      </c>
      <c r="BF70" s="30" t="str">
        <f t="shared" si="22"/>
        <v>HPC</v>
      </c>
      <c r="BG70" s="30" t="str">
        <f t="shared" si="23"/>
        <v>C</v>
      </c>
      <c r="BH70" s="30" t="str">
        <f t="shared" si="24"/>
        <v>M</v>
      </c>
      <c r="BI70" s="30" t="str">
        <f t="shared" si="25"/>
        <v>S</v>
      </c>
      <c r="BJ70" s="13"/>
      <c r="BK70" s="49"/>
      <c r="BL70" s="13"/>
      <c r="BM70" s="13"/>
      <c r="BN70" s="13"/>
      <c r="BO70" s="13"/>
      <c r="BP70" s="13"/>
      <c r="BQ70" s="13"/>
      <c r="BR70" s="13"/>
      <c r="BS70" s="13"/>
      <c r="BT70" s="13"/>
      <c r="BU70" s="13"/>
    </row>
    <row r="71" spans="1:84">
      <c r="A71" s="25" t="str">
        <f t="shared" si="14"/>
        <v>HVIL002-HPC-RT-S2-S10.0-0066</v>
      </c>
      <c r="B71" s="48">
        <v>44096.5625</v>
      </c>
      <c r="C71" s="632"/>
      <c r="D71" s="632"/>
      <c r="E71" s="632"/>
      <c r="F71" s="50">
        <v>66</v>
      </c>
      <c r="G71" s="44" t="s">
        <v>129</v>
      </c>
      <c r="H71" s="37" t="s">
        <v>66</v>
      </c>
      <c r="I71" s="37" t="s">
        <v>130</v>
      </c>
      <c r="J71" s="37" t="s">
        <v>131</v>
      </c>
      <c r="K71" s="39">
        <v>10</v>
      </c>
      <c r="L71" s="39">
        <v>10</v>
      </c>
      <c r="M71" s="39">
        <v>1</v>
      </c>
      <c r="N71" s="31">
        <v>4.0620000000000003</v>
      </c>
      <c r="O71" s="63">
        <f>6.06-0.018</f>
        <v>6.0419999999999998</v>
      </c>
      <c r="P71" s="37" t="s">
        <v>69</v>
      </c>
      <c r="Q71" s="53">
        <f>69383300/1000000</f>
        <v>69.383300000000006</v>
      </c>
      <c r="R71" s="53">
        <v>157.488373</v>
      </c>
      <c r="S71" s="457">
        <f t="shared" si="27"/>
        <v>1904.902528899705</v>
      </c>
      <c r="T71" s="537" t="s">
        <v>68</v>
      </c>
      <c r="U71" s="60">
        <v>1.75</v>
      </c>
      <c r="V71" s="60">
        <v>60.003</v>
      </c>
      <c r="W71" s="60">
        <v>0.02</v>
      </c>
      <c r="X71" s="60">
        <v>363.91500000000002</v>
      </c>
      <c r="Y71" s="31">
        <v>199</v>
      </c>
      <c r="Z71" s="37" t="s">
        <v>71</v>
      </c>
      <c r="AA71" s="31">
        <v>249</v>
      </c>
      <c r="AB71" s="39" t="s">
        <v>132</v>
      </c>
      <c r="AC71" s="41">
        <v>0</v>
      </c>
      <c r="AD71" s="41" t="s">
        <v>73</v>
      </c>
      <c r="AE71" s="41" t="s">
        <v>133</v>
      </c>
      <c r="AF71" s="40" t="str">
        <f t="shared" ref="AF71:AG107" si="29">IF($AD71="N","N/A"," ")</f>
        <v>N/A</v>
      </c>
      <c r="AG71" s="40" t="str">
        <f t="shared" si="29"/>
        <v>N/A</v>
      </c>
      <c r="AH71" s="41" t="s">
        <v>155</v>
      </c>
      <c r="AI71" s="40" t="str">
        <f t="shared" ref="AI71:AI107" si="30">IF(AG71="N/A","N/A","")</f>
        <v>N/A</v>
      </c>
      <c r="AJ71" s="40" t="s">
        <v>73</v>
      </c>
      <c r="AK71" s="40" t="str">
        <f t="shared" si="17"/>
        <v>N/A</v>
      </c>
      <c r="AL71" s="40" t="s">
        <v>70</v>
      </c>
      <c r="AM71" s="40" t="str">
        <f t="shared" si="17"/>
        <v>N/A</v>
      </c>
      <c r="AN71" s="294">
        <v>8.5640000000000001</v>
      </c>
      <c r="AO71" s="294">
        <v>7.72</v>
      </c>
      <c r="AP71" s="294">
        <f t="shared" ref="AP71:AP78" si="31">AN71-AO71</f>
        <v>0.84400000000000031</v>
      </c>
      <c r="AQ71" s="40" t="s">
        <v>75</v>
      </c>
      <c r="AR71" s="285">
        <v>565861</v>
      </c>
      <c r="AS71" s="28">
        <v>256</v>
      </c>
      <c r="AT71" s="28">
        <v>200</v>
      </c>
      <c r="AU71" s="34">
        <v>1000000</v>
      </c>
      <c r="AV71" s="278">
        <v>6</v>
      </c>
      <c r="AW71" s="278">
        <v>5.6</v>
      </c>
      <c r="AX71" s="278">
        <v>1.1000000000000001</v>
      </c>
      <c r="AY71" s="281">
        <v>0.33800000000000002</v>
      </c>
      <c r="AZ71" s="61">
        <v>21.6</v>
      </c>
      <c r="BA71" s="271">
        <v>21.6</v>
      </c>
      <c r="BB71" s="31">
        <v>58</v>
      </c>
      <c r="BC71" s="42" t="s">
        <v>76</v>
      </c>
      <c r="BD71" s="29"/>
      <c r="BE71" s="30" t="str">
        <f t="shared" si="21"/>
        <v>S2</v>
      </c>
      <c r="BF71" s="30" t="str">
        <f t="shared" si="22"/>
        <v>HPC</v>
      </c>
      <c r="BG71" s="30" t="str">
        <f t="shared" si="23"/>
        <v>C</v>
      </c>
      <c r="BH71" s="30" t="str">
        <f t="shared" si="24"/>
        <v>M</v>
      </c>
      <c r="BI71" s="30" t="str">
        <f t="shared" si="25"/>
        <v>S</v>
      </c>
      <c r="BJ71" s="13"/>
      <c r="BK71" s="49"/>
      <c r="BL71" s="13"/>
      <c r="BM71" s="13"/>
      <c r="BN71" s="13"/>
      <c r="BO71" s="13"/>
      <c r="BP71" s="13"/>
      <c r="BQ71" s="13"/>
      <c r="BR71" s="13"/>
      <c r="BS71" s="13"/>
      <c r="BT71" s="13"/>
      <c r="BU71" s="13"/>
    </row>
    <row r="72" spans="1:84" ht="15">
      <c r="A72" s="635" t="str">
        <f t="shared" si="14"/>
        <v>HVIL001-UHMWPE-RT-AL-S10.0-0067</v>
      </c>
      <c r="B72" s="48">
        <v>44098</v>
      </c>
      <c r="C72" s="632"/>
      <c r="D72" s="632"/>
      <c r="E72" s="632"/>
      <c r="F72" s="51">
        <v>67</v>
      </c>
      <c r="G72" s="44" t="s">
        <v>82</v>
      </c>
      <c r="H72" s="37" t="s">
        <v>66</v>
      </c>
      <c r="I72" s="37" t="s">
        <v>87</v>
      </c>
      <c r="J72" s="37" t="s">
        <v>105</v>
      </c>
      <c r="K72" s="39">
        <v>10</v>
      </c>
      <c r="L72" s="39">
        <v>10</v>
      </c>
      <c r="M72" s="39">
        <v>1</v>
      </c>
      <c r="N72" s="31">
        <v>1.4159999999999999</v>
      </c>
      <c r="O72" s="63">
        <f>3.416-0.015</f>
        <v>3.4009999999999998</v>
      </c>
      <c r="P72" s="37" t="s">
        <v>69</v>
      </c>
      <c r="Q72" s="53">
        <f>58670900/1000000</f>
        <v>58.670900000000003</v>
      </c>
      <c r="R72" s="53">
        <v>45.893689999999999</v>
      </c>
      <c r="S72" s="457">
        <f t="shared" si="27"/>
        <v>6536.8463507728411</v>
      </c>
      <c r="T72" s="537" t="s">
        <v>68</v>
      </c>
      <c r="U72" s="60">
        <v>1.7509999999999999</v>
      </c>
      <c r="V72" s="60">
        <v>149.96100000000001</v>
      </c>
      <c r="W72" s="60">
        <v>0.02</v>
      </c>
      <c r="X72" s="60">
        <v>363.55900000000003</v>
      </c>
      <c r="Y72" s="31">
        <v>76</v>
      </c>
      <c r="Z72" s="37" t="s">
        <v>71</v>
      </c>
      <c r="AA72" s="31">
        <v>200</v>
      </c>
      <c r="AB72" s="39" t="s">
        <v>83</v>
      </c>
      <c r="AC72" s="41">
        <v>0</v>
      </c>
      <c r="AD72" s="41" t="s">
        <v>73</v>
      </c>
      <c r="AE72" s="41" t="s">
        <v>108</v>
      </c>
      <c r="AF72" s="40" t="str">
        <f t="shared" si="29"/>
        <v>N/A</v>
      </c>
      <c r="AG72" s="40" t="str">
        <f t="shared" si="29"/>
        <v>N/A</v>
      </c>
      <c r="AH72" s="41" t="s">
        <v>109</v>
      </c>
      <c r="AI72" s="40" t="str">
        <f t="shared" si="30"/>
        <v>N/A</v>
      </c>
      <c r="AJ72" s="40" t="s">
        <v>73</v>
      </c>
      <c r="AK72" s="40" t="str">
        <f t="shared" si="17"/>
        <v>N/A</v>
      </c>
      <c r="AL72" s="40" t="s">
        <v>70</v>
      </c>
      <c r="AM72" s="40" t="str">
        <f t="shared" si="17"/>
        <v>N/A</v>
      </c>
      <c r="AN72" s="294">
        <v>0.58857000000000004</v>
      </c>
      <c r="AO72" s="294">
        <v>0.58477999999999997</v>
      </c>
      <c r="AP72" s="294">
        <f t="shared" si="31"/>
        <v>3.7900000000000711E-3</v>
      </c>
      <c r="AQ72" s="40" t="s">
        <v>75</v>
      </c>
      <c r="AR72" s="285">
        <v>164370</v>
      </c>
      <c r="AS72" s="28">
        <v>128</v>
      </c>
      <c r="AT72" s="28">
        <v>200</v>
      </c>
      <c r="AU72" s="34">
        <v>1000000</v>
      </c>
      <c r="AV72" s="278">
        <v>6</v>
      </c>
      <c r="AW72" s="278">
        <v>5.6</v>
      </c>
      <c r="AX72" s="278">
        <v>1.1000000000000001</v>
      </c>
      <c r="AY72" s="281">
        <v>0.34</v>
      </c>
      <c r="AZ72" s="61">
        <v>21.4</v>
      </c>
      <c r="BA72" s="271">
        <v>21.4</v>
      </c>
      <c r="BB72" s="31">
        <v>58</v>
      </c>
      <c r="BC72" s="42" t="s">
        <v>76</v>
      </c>
      <c r="BD72" s="29"/>
      <c r="BE72" s="30" t="str">
        <f t="shared" si="21"/>
        <v>AL</v>
      </c>
      <c r="BF72" s="30" t="str">
        <f t="shared" si="22"/>
        <v>UHMWPE</v>
      </c>
      <c r="BG72" s="30" t="str">
        <f t="shared" si="23"/>
        <v>P</v>
      </c>
      <c r="BH72" s="30" t="str">
        <f t="shared" si="24"/>
        <v>M</v>
      </c>
      <c r="BI72" s="30" t="str">
        <f t="shared" si="25"/>
        <v>S</v>
      </c>
      <c r="BJ72" s="13"/>
      <c r="BK72" s="49" t="s">
        <v>157</v>
      </c>
      <c r="BL72" s="13"/>
      <c r="BM72" s="13"/>
      <c r="BN72" s="13"/>
      <c r="BO72" s="13"/>
      <c r="BP72" s="13"/>
      <c r="BQ72" s="13"/>
      <c r="BR72" s="13"/>
      <c r="BS72" s="13"/>
      <c r="BT72" s="13"/>
      <c r="BU72" s="13"/>
    </row>
    <row r="73" spans="1:84">
      <c r="A73" s="25" t="str">
        <f t="shared" si="14"/>
        <v>HVIL005-ACC-RT-NY-S04.0-0068</v>
      </c>
      <c r="B73" s="48">
        <v>44098.541666666664</v>
      </c>
      <c r="C73" s="632"/>
      <c r="D73" s="632"/>
      <c r="E73" s="632"/>
      <c r="F73" s="50">
        <v>68</v>
      </c>
      <c r="G73" s="44" t="s">
        <v>158</v>
      </c>
      <c r="H73" s="37" t="s">
        <v>83</v>
      </c>
      <c r="I73" s="37" t="s">
        <v>148</v>
      </c>
      <c r="J73" s="37" t="s">
        <v>149</v>
      </c>
      <c r="K73" s="39">
        <v>4</v>
      </c>
      <c r="L73" s="39">
        <v>4</v>
      </c>
      <c r="M73" s="39">
        <v>1</v>
      </c>
      <c r="N73" s="31">
        <v>3.9E-2</v>
      </c>
      <c r="O73" s="63">
        <f>2.115-0.016</f>
        <v>2.0990000000000002</v>
      </c>
      <c r="P73" s="37" t="s">
        <v>69</v>
      </c>
      <c r="Q73" s="53">
        <f>65861900/1000000</f>
        <v>65.861900000000006</v>
      </c>
      <c r="R73" s="53">
        <v>132.98794100000001</v>
      </c>
      <c r="S73" s="457">
        <f t="shared" si="27"/>
        <v>2255.8436332208498</v>
      </c>
      <c r="T73" s="537" t="s">
        <v>68</v>
      </c>
      <c r="U73" s="60">
        <v>1.75</v>
      </c>
      <c r="V73" s="60">
        <v>60</v>
      </c>
      <c r="W73" s="60">
        <v>0.02</v>
      </c>
      <c r="X73" s="60">
        <v>363.7</v>
      </c>
      <c r="Y73" s="31">
        <v>199</v>
      </c>
      <c r="Z73" s="37" t="s">
        <v>71</v>
      </c>
      <c r="AA73" s="31">
        <v>251</v>
      </c>
      <c r="AB73" s="39" t="s">
        <v>72</v>
      </c>
      <c r="AC73" s="41">
        <v>0</v>
      </c>
      <c r="AD73" s="41" t="s">
        <v>73</v>
      </c>
      <c r="AE73" s="41" t="s">
        <v>159</v>
      </c>
      <c r="AF73" s="40" t="str">
        <f t="shared" si="29"/>
        <v>N/A</v>
      </c>
      <c r="AG73" s="40" t="str">
        <f t="shared" si="29"/>
        <v>N/A</v>
      </c>
      <c r="AH73" s="41" t="s">
        <v>160</v>
      </c>
      <c r="AI73" s="40" t="str">
        <f t="shared" si="30"/>
        <v>N/A</v>
      </c>
      <c r="AJ73" s="40" t="s">
        <v>73</v>
      </c>
      <c r="AK73" s="40" t="str">
        <f t="shared" si="17"/>
        <v>N/A</v>
      </c>
      <c r="AL73" s="40" t="s">
        <v>70</v>
      </c>
      <c r="AM73" s="40" t="str">
        <f t="shared" si="17"/>
        <v>N/A</v>
      </c>
      <c r="AN73" s="294">
        <v>5.1034000000000003E-2</v>
      </c>
      <c r="AO73" s="294">
        <v>5.0311000000000002E-2</v>
      </c>
      <c r="AP73" s="294">
        <f t="shared" si="31"/>
        <v>7.2300000000000142E-4</v>
      </c>
      <c r="AQ73" s="40" t="s">
        <v>75</v>
      </c>
      <c r="AR73" s="285">
        <v>478385</v>
      </c>
      <c r="AS73" s="28">
        <v>128</v>
      </c>
      <c r="AT73" s="28">
        <v>200</v>
      </c>
      <c r="AU73" s="34">
        <v>1000000</v>
      </c>
      <c r="AV73" s="278">
        <v>6</v>
      </c>
      <c r="AW73" s="278">
        <v>5.6</v>
      </c>
      <c r="AX73" s="278">
        <v>1.1000000000000001</v>
      </c>
      <c r="AY73" s="281">
        <v>0.34</v>
      </c>
      <c r="AZ73" s="61">
        <v>21.4</v>
      </c>
      <c r="BA73" s="271">
        <v>21.4</v>
      </c>
      <c r="BB73" s="31">
        <v>58</v>
      </c>
      <c r="BC73" s="42" t="s">
        <v>76</v>
      </c>
      <c r="BD73" s="29"/>
      <c r="BE73" s="30" t="str">
        <f t="shared" ref="BE73:BE107" si="32">IF(I73&lt;&gt;"",MID(I73,SEARCH("(",I73)+1,SEARCH(")",I73)-SEARCH("(",I73)-1),"")</f>
        <v>NY</v>
      </c>
      <c r="BF73" s="30" t="str">
        <f t="shared" ref="BF73:BF107" si="33">IF(AE73&lt;&gt;"",MID(AE73,SEARCH("(",AE73)+1,SEARCH(")",AE73)-SEARCH("(",AE73)-1),"")</f>
        <v>ACC</v>
      </c>
      <c r="BG73" s="30" t="str">
        <f t="shared" ref="BG73:BG107" si="34">IF(AB73&lt;&gt;"",LEFT(AB73,1),"")</f>
        <v>C</v>
      </c>
      <c r="BH73" s="30" t="str">
        <f t="shared" ref="BH73:BH107" si="35">IF(H73&lt;&gt;"",LEFT(H73,1),"")</f>
        <v>P</v>
      </c>
      <c r="BI73" s="30" t="str">
        <f t="shared" ref="BI73:BI107" si="36">IF(P73&lt;&gt;"",MID(P73,SEARCH("(",P73)+1,SEARCH(")",P73)-SEARCH("(",P73)-1),"")</f>
        <v>S</v>
      </c>
      <c r="BJ73" s="13"/>
      <c r="BK73" s="49"/>
      <c r="BL73" s="13"/>
      <c r="BM73" s="13"/>
      <c r="BN73" s="13"/>
      <c r="BO73" s="13"/>
      <c r="BP73" s="13"/>
      <c r="BQ73" s="13"/>
      <c r="BR73" s="13"/>
      <c r="BS73" s="13"/>
      <c r="BT73" s="13"/>
      <c r="BU73" s="13"/>
    </row>
    <row r="74" spans="1:84" ht="15">
      <c r="A74" s="635" t="str">
        <f t="shared" si="14"/>
        <v>HVIL001-UHMWPE-RT-AL-S10.0-0069</v>
      </c>
      <c r="B74" s="48">
        <v>44099.583333333336</v>
      </c>
      <c r="C74" s="632"/>
      <c r="D74" s="632"/>
      <c r="E74" s="632"/>
      <c r="F74" s="50">
        <v>69</v>
      </c>
      <c r="G74" s="44" t="s">
        <v>82</v>
      </c>
      <c r="H74" s="37" t="s">
        <v>66</v>
      </c>
      <c r="I74" s="37" t="s">
        <v>87</v>
      </c>
      <c r="J74" s="37" t="s">
        <v>105</v>
      </c>
      <c r="K74" s="39">
        <v>10</v>
      </c>
      <c r="L74" s="39">
        <v>10</v>
      </c>
      <c r="M74" s="39">
        <v>1</v>
      </c>
      <c r="N74" s="31">
        <v>1.4119999999999999</v>
      </c>
      <c r="O74" s="63">
        <f>3.405-0.0179</f>
        <v>3.3870999999999998</v>
      </c>
      <c r="P74" s="37" t="s">
        <v>69</v>
      </c>
      <c r="Q74" s="53">
        <f>49231200/1000000</f>
        <v>49.231200000000001</v>
      </c>
      <c r="R74" s="53">
        <v>47.653331000000001</v>
      </c>
      <c r="S74" s="457">
        <f t="shared" si="27"/>
        <v>6295.467571826196</v>
      </c>
      <c r="T74" s="537" t="s">
        <v>68</v>
      </c>
      <c r="U74" s="60">
        <v>1.75</v>
      </c>
      <c r="V74" s="60">
        <v>150.00299999999999</v>
      </c>
      <c r="W74" s="60">
        <v>0.02</v>
      </c>
      <c r="X74" s="60">
        <v>363.87</v>
      </c>
      <c r="Y74" s="31">
        <v>75</v>
      </c>
      <c r="Z74" s="37" t="s">
        <v>71</v>
      </c>
      <c r="AA74" s="31">
        <v>250</v>
      </c>
      <c r="AB74" s="39" t="s">
        <v>83</v>
      </c>
      <c r="AC74" s="41">
        <v>0</v>
      </c>
      <c r="AD74" s="41" t="s">
        <v>73</v>
      </c>
      <c r="AE74" s="41" t="s">
        <v>108</v>
      </c>
      <c r="AF74" s="40" t="str">
        <f t="shared" si="29"/>
        <v>N/A</v>
      </c>
      <c r="AG74" s="40" t="str">
        <f t="shared" si="29"/>
        <v>N/A</v>
      </c>
      <c r="AH74" s="41" t="s">
        <v>109</v>
      </c>
      <c r="AI74" s="40" t="str">
        <f t="shared" si="30"/>
        <v>N/A</v>
      </c>
      <c r="AJ74" s="40" t="s">
        <v>73</v>
      </c>
      <c r="AK74" s="40" t="str">
        <f t="shared" si="17"/>
        <v>N/A</v>
      </c>
      <c r="AL74" s="40" t="s">
        <v>70</v>
      </c>
      <c r="AM74" s="40" t="str">
        <f t="shared" si="17"/>
        <v>N/A</v>
      </c>
      <c r="AN74" s="294">
        <v>0.57662999999999998</v>
      </c>
      <c r="AO74" s="294">
        <v>0.57287999999999994</v>
      </c>
      <c r="AP74" s="294">
        <f t="shared" si="31"/>
        <v>3.7500000000000311E-3</v>
      </c>
      <c r="AQ74" s="40" t="s">
        <v>75</v>
      </c>
      <c r="AR74" s="285">
        <v>170588</v>
      </c>
      <c r="AS74" s="28">
        <v>128</v>
      </c>
      <c r="AT74" s="28">
        <v>200</v>
      </c>
      <c r="AU74" s="34">
        <v>1000000</v>
      </c>
      <c r="AV74" s="278">
        <v>6</v>
      </c>
      <c r="AW74" s="278">
        <v>5.6</v>
      </c>
      <c r="AX74" s="278">
        <v>1.1000000000000001</v>
      </c>
      <c r="AY74" s="281">
        <v>0.34</v>
      </c>
      <c r="AZ74" s="61">
        <v>21.7</v>
      </c>
      <c r="BA74" s="271">
        <v>21.7</v>
      </c>
      <c r="BB74" s="31">
        <v>58</v>
      </c>
      <c r="BC74" s="42" t="s">
        <v>76</v>
      </c>
      <c r="BD74" s="29"/>
      <c r="BE74" s="30" t="str">
        <f t="shared" si="32"/>
        <v>AL</v>
      </c>
      <c r="BF74" s="30" t="str">
        <f t="shared" si="33"/>
        <v>UHMWPE</v>
      </c>
      <c r="BG74" s="30" t="str">
        <f t="shared" si="34"/>
        <v>P</v>
      </c>
      <c r="BH74" s="30" t="str">
        <f t="shared" si="35"/>
        <v>M</v>
      </c>
      <c r="BI74" s="30" t="str">
        <f t="shared" si="36"/>
        <v>S</v>
      </c>
      <c r="BJ74" s="13"/>
      <c r="BK74" s="49"/>
      <c r="BL74" s="13"/>
      <c r="BM74" s="13"/>
      <c r="BN74" s="13"/>
      <c r="BO74" s="13"/>
      <c r="BP74" s="13"/>
      <c r="BQ74" s="13"/>
      <c r="BR74" s="13"/>
      <c r="BS74" s="13"/>
      <c r="BT74" s="13"/>
      <c r="BU74" s="13"/>
    </row>
    <row r="75" spans="1:84" ht="15">
      <c r="A75" s="635" t="str">
        <f t="shared" ref="A75:A107" si="37">IF(B75&lt;&gt;"",G75&amp;"-"&amp;BF75&amp;"-"&amp;AQ75&amp;"-"&amp;BE75&amp;"-"&amp;BI75&amp;TEXT(ROUND(K75,1),"00.0")&amp;"-"&amp;TEXT(F75,"0000"),"")</f>
        <v>HVIL001-UHMWPE-RT-AL-S10.0-0070</v>
      </c>
      <c r="B75" s="48">
        <v>44104.604166666664</v>
      </c>
      <c r="C75" s="632"/>
      <c r="D75" s="632"/>
      <c r="E75" s="632"/>
      <c r="F75" s="51">
        <v>70</v>
      </c>
      <c r="G75" s="44" t="s">
        <v>82</v>
      </c>
      <c r="H75" s="37" t="s">
        <v>66</v>
      </c>
      <c r="I75" s="37" t="s">
        <v>87</v>
      </c>
      <c r="J75" s="37" t="s">
        <v>105</v>
      </c>
      <c r="K75" s="39">
        <v>10</v>
      </c>
      <c r="L75" s="39">
        <v>10</v>
      </c>
      <c r="M75" s="39">
        <v>1</v>
      </c>
      <c r="N75" s="31">
        <v>1.4139999999999999</v>
      </c>
      <c r="O75" s="63">
        <f>3.4-0.018</f>
        <v>3.3820000000000001</v>
      </c>
      <c r="P75" s="37" t="s">
        <v>69</v>
      </c>
      <c r="Q75" s="468">
        <f>58081400/1000000</f>
        <v>58.081400000000002</v>
      </c>
      <c r="R75" s="53">
        <v>47.979515999999997</v>
      </c>
      <c r="S75" s="457">
        <f t="shared" si="27"/>
        <v>6252.6683262082097</v>
      </c>
      <c r="T75" s="537" t="s">
        <v>68</v>
      </c>
      <c r="U75" s="60">
        <v>1.75</v>
      </c>
      <c r="V75" s="60">
        <v>145.00299999999999</v>
      </c>
      <c r="W75" s="60">
        <v>0.02</v>
      </c>
      <c r="X75" s="60">
        <v>363.81099999999998</v>
      </c>
      <c r="Y75" s="31">
        <v>75</v>
      </c>
      <c r="Z75" s="37" t="s">
        <v>71</v>
      </c>
      <c r="AA75" s="31">
        <v>220</v>
      </c>
      <c r="AB75" s="39" t="s">
        <v>83</v>
      </c>
      <c r="AC75" s="41">
        <v>0</v>
      </c>
      <c r="AD75" s="41" t="s">
        <v>73</v>
      </c>
      <c r="AE75" s="41" t="s">
        <v>108</v>
      </c>
      <c r="AF75" s="40" t="str">
        <f t="shared" si="29"/>
        <v>N/A</v>
      </c>
      <c r="AG75" s="40" t="str">
        <f t="shared" si="29"/>
        <v>N/A</v>
      </c>
      <c r="AH75" s="41" t="s">
        <v>109</v>
      </c>
      <c r="AI75" s="40" t="str">
        <f t="shared" si="30"/>
        <v>N/A</v>
      </c>
      <c r="AJ75" s="40" t="s">
        <v>73</v>
      </c>
      <c r="AK75" s="40" t="str">
        <f t="shared" si="17"/>
        <v>N/A</v>
      </c>
      <c r="AL75" s="40" t="s">
        <v>70</v>
      </c>
      <c r="AM75" s="40" t="str">
        <f t="shared" si="17"/>
        <v>N/A</v>
      </c>
      <c r="AN75" s="294">
        <v>0.58765999999999996</v>
      </c>
      <c r="AO75" s="294">
        <v>0.58359000000000005</v>
      </c>
      <c r="AP75" s="294">
        <f t="shared" si="31"/>
        <v>4.069999999999907E-3</v>
      </c>
      <c r="AQ75" s="40" t="s">
        <v>75</v>
      </c>
      <c r="AR75" s="285">
        <v>171729</v>
      </c>
      <c r="AS75" s="28">
        <v>128</v>
      </c>
      <c r="AT75" s="28">
        <v>200</v>
      </c>
      <c r="AU75" s="34">
        <v>1000000</v>
      </c>
      <c r="AV75" s="278">
        <v>6</v>
      </c>
      <c r="AW75" s="278">
        <v>5.6</v>
      </c>
      <c r="AX75" s="278">
        <v>1.1000000000000001</v>
      </c>
      <c r="AY75" s="281">
        <v>0.34</v>
      </c>
      <c r="AZ75" s="61">
        <v>21.4</v>
      </c>
      <c r="BA75" s="271">
        <v>21.4</v>
      </c>
      <c r="BB75" s="31">
        <v>41</v>
      </c>
      <c r="BC75" s="42" t="s">
        <v>76</v>
      </c>
      <c r="BD75" s="29"/>
      <c r="BE75" s="30" t="str">
        <f t="shared" si="32"/>
        <v>AL</v>
      </c>
      <c r="BF75" s="30" t="str">
        <f t="shared" si="33"/>
        <v>UHMWPE</v>
      </c>
      <c r="BG75" s="30" t="str">
        <f t="shared" si="34"/>
        <v>P</v>
      </c>
      <c r="BH75" s="30" t="str">
        <f t="shared" si="35"/>
        <v>M</v>
      </c>
      <c r="BI75" s="30" t="str">
        <f t="shared" si="36"/>
        <v>S</v>
      </c>
      <c r="BJ75" s="13"/>
      <c r="BK75" s="49"/>
      <c r="BL75" s="13"/>
      <c r="BM75" s="13"/>
      <c r="BN75" s="13"/>
      <c r="BO75" s="13"/>
      <c r="BP75" s="13"/>
      <c r="BQ75" s="13"/>
      <c r="BR75" s="13"/>
      <c r="BS75" s="13"/>
      <c r="BT75" s="13"/>
      <c r="BU75" s="13"/>
    </row>
    <row r="76" spans="1:84">
      <c r="A76" s="25" t="str">
        <f t="shared" si="37"/>
        <v>HVIL001-HDPE-RT-AL-S10.0-0071</v>
      </c>
      <c r="B76" s="48">
        <v>44105.916666666664</v>
      </c>
      <c r="C76" s="632"/>
      <c r="D76" s="632"/>
      <c r="E76" s="632"/>
      <c r="F76" s="50">
        <v>71</v>
      </c>
      <c r="G76" s="44" t="s">
        <v>82</v>
      </c>
      <c r="H76" s="37" t="s">
        <v>66</v>
      </c>
      <c r="I76" s="37" t="s">
        <v>87</v>
      </c>
      <c r="J76" s="37" t="s">
        <v>105</v>
      </c>
      <c r="K76" s="39">
        <v>10</v>
      </c>
      <c r="L76" s="39">
        <v>10</v>
      </c>
      <c r="M76" s="39">
        <v>1</v>
      </c>
      <c r="N76" s="31"/>
      <c r="O76" s="63"/>
      <c r="P76" s="37" t="s">
        <v>69</v>
      </c>
      <c r="Q76" s="53" t="s">
        <v>68</v>
      </c>
      <c r="R76" s="53" t="s">
        <v>68</v>
      </c>
      <c r="S76" s="53" t="s">
        <v>68</v>
      </c>
      <c r="T76" s="537" t="s">
        <v>68</v>
      </c>
      <c r="U76" s="205">
        <v>1.75</v>
      </c>
      <c r="V76" s="60">
        <v>135.03899999999999</v>
      </c>
      <c r="W76" s="60">
        <v>0.02</v>
      </c>
      <c r="X76" s="60">
        <v>364.16399999999999</v>
      </c>
      <c r="Y76" s="31">
        <v>75</v>
      </c>
      <c r="Z76" s="37" t="s">
        <v>71</v>
      </c>
      <c r="AA76" s="31">
        <v>220</v>
      </c>
      <c r="AB76" s="39" t="s">
        <v>83</v>
      </c>
      <c r="AC76" s="41">
        <v>0</v>
      </c>
      <c r="AD76" s="41" t="s">
        <v>73</v>
      </c>
      <c r="AE76" s="41" t="s">
        <v>100</v>
      </c>
      <c r="AF76" s="40" t="s">
        <v>70</v>
      </c>
      <c r="AG76" s="40" t="s">
        <v>70</v>
      </c>
      <c r="AH76" s="41" t="s">
        <v>161</v>
      </c>
      <c r="AI76" s="40" t="str">
        <f t="shared" si="30"/>
        <v>N/A</v>
      </c>
      <c r="AJ76" s="40" t="s">
        <v>73</v>
      </c>
      <c r="AK76" s="40" t="str">
        <f t="shared" si="17"/>
        <v>N/A</v>
      </c>
      <c r="AL76" s="40" t="s">
        <v>70</v>
      </c>
      <c r="AM76" s="40" t="str">
        <f t="shared" si="17"/>
        <v>N/A</v>
      </c>
      <c r="AN76" s="294">
        <v>0.54993000000000003</v>
      </c>
      <c r="AO76" s="294" t="s">
        <v>68</v>
      </c>
      <c r="AP76" s="294" t="s">
        <v>68</v>
      </c>
      <c r="AQ76" s="40" t="s">
        <v>75</v>
      </c>
      <c r="AR76" s="285" t="s">
        <v>68</v>
      </c>
      <c r="AS76" s="28">
        <v>128</v>
      </c>
      <c r="AT76" s="28">
        <v>200</v>
      </c>
      <c r="AU76" s="34">
        <v>1000000</v>
      </c>
      <c r="AV76" s="278">
        <v>6</v>
      </c>
      <c r="AW76" s="278">
        <v>5.6</v>
      </c>
      <c r="AX76" s="278">
        <v>1.1000000000000001</v>
      </c>
      <c r="AY76" s="281">
        <v>0.34</v>
      </c>
      <c r="AZ76" s="61">
        <v>21.2</v>
      </c>
      <c r="BA76" s="271">
        <v>21.2</v>
      </c>
      <c r="BB76" s="31">
        <v>47</v>
      </c>
      <c r="BC76" s="42" t="s">
        <v>73</v>
      </c>
      <c r="BD76" s="29"/>
      <c r="BE76" s="30" t="str">
        <f t="shared" si="32"/>
        <v>AL</v>
      </c>
      <c r="BF76" s="30" t="str">
        <f t="shared" si="33"/>
        <v>HDPE</v>
      </c>
      <c r="BG76" s="30" t="str">
        <f t="shared" si="34"/>
        <v>P</v>
      </c>
      <c r="BH76" s="30" t="str">
        <f t="shared" si="35"/>
        <v>M</v>
      </c>
      <c r="BI76" s="30" t="str">
        <f t="shared" si="36"/>
        <v>S</v>
      </c>
      <c r="BJ76" s="13"/>
      <c r="BK76" s="49" t="s">
        <v>162</v>
      </c>
      <c r="BL76" s="13"/>
      <c r="BM76" s="13"/>
      <c r="BN76" s="13"/>
      <c r="BO76" s="13"/>
      <c r="BP76" s="13"/>
      <c r="BQ76" s="13"/>
      <c r="BR76" s="13"/>
      <c r="BS76" s="13"/>
      <c r="BT76" s="13"/>
      <c r="BU76" s="13"/>
    </row>
    <row r="77" spans="1:84">
      <c r="A77" s="25" t="str">
        <f t="shared" si="37"/>
        <v>HVIL001-HDPE-RT-AL-S10.0-0072</v>
      </c>
      <c r="B77" s="48">
        <v>44105.5</v>
      </c>
      <c r="C77" s="632"/>
      <c r="D77" s="632"/>
      <c r="E77" s="632"/>
      <c r="F77" s="50">
        <v>72</v>
      </c>
      <c r="G77" s="44" t="s">
        <v>82</v>
      </c>
      <c r="H77" s="37" t="s">
        <v>66</v>
      </c>
      <c r="I77" s="37" t="s">
        <v>87</v>
      </c>
      <c r="J77" s="37" t="s">
        <v>105</v>
      </c>
      <c r="K77" s="39">
        <v>10</v>
      </c>
      <c r="L77" s="39">
        <v>10</v>
      </c>
      <c r="M77" s="39">
        <v>1</v>
      </c>
      <c r="N77" s="31"/>
      <c r="O77" s="63"/>
      <c r="P77" s="37" t="s">
        <v>69</v>
      </c>
      <c r="Q77" s="53" t="s">
        <v>68</v>
      </c>
      <c r="R77" s="53" t="s">
        <v>68</v>
      </c>
      <c r="S77" s="53" t="s">
        <v>68</v>
      </c>
      <c r="T77" s="537" t="s">
        <v>68</v>
      </c>
      <c r="U77" s="60">
        <v>1.75</v>
      </c>
      <c r="V77" s="60">
        <v>135.01499999999999</v>
      </c>
      <c r="W77" s="60">
        <v>0.02</v>
      </c>
      <c r="X77" s="60">
        <v>363.26299999999998</v>
      </c>
      <c r="Y77" s="31">
        <v>75</v>
      </c>
      <c r="Z77" s="37" t="s">
        <v>71</v>
      </c>
      <c r="AA77" s="31">
        <v>220</v>
      </c>
      <c r="AB77" s="39" t="s">
        <v>83</v>
      </c>
      <c r="AC77" s="41">
        <v>0</v>
      </c>
      <c r="AD77" s="41" t="s">
        <v>73</v>
      </c>
      <c r="AE77" s="41" t="s">
        <v>100</v>
      </c>
      <c r="AF77" s="40" t="s">
        <v>70</v>
      </c>
      <c r="AG77" s="40" t="s">
        <v>70</v>
      </c>
      <c r="AH77" s="41" t="s">
        <v>163</v>
      </c>
      <c r="AI77" s="40" t="str">
        <f t="shared" si="30"/>
        <v>N/A</v>
      </c>
      <c r="AJ77" s="40" t="s">
        <v>73</v>
      </c>
      <c r="AK77" s="40" t="str">
        <f t="shared" si="17"/>
        <v>N/A</v>
      </c>
      <c r="AL77" s="40" t="s">
        <v>70</v>
      </c>
      <c r="AM77" s="40" t="str">
        <f t="shared" si="17"/>
        <v>N/A</v>
      </c>
      <c r="AN77" s="294">
        <v>0.54488000000000003</v>
      </c>
      <c r="AO77" s="294" t="s">
        <v>68</v>
      </c>
      <c r="AP77" s="294" t="s">
        <v>68</v>
      </c>
      <c r="AQ77" s="40" t="s">
        <v>75</v>
      </c>
      <c r="AR77" s="285" t="s">
        <v>68</v>
      </c>
      <c r="AS77" s="28">
        <v>128</v>
      </c>
      <c r="AT77" s="28">
        <v>200</v>
      </c>
      <c r="AU77" s="34">
        <v>1000000</v>
      </c>
      <c r="AV77" s="278">
        <v>6</v>
      </c>
      <c r="AW77" s="278">
        <v>5.6</v>
      </c>
      <c r="AX77" s="278">
        <v>1.1000000000000001</v>
      </c>
      <c r="AY77" s="281">
        <v>0.34</v>
      </c>
      <c r="AZ77" s="61">
        <v>21.2</v>
      </c>
      <c r="BA77" s="271">
        <v>21.2</v>
      </c>
      <c r="BB77" s="31">
        <v>47</v>
      </c>
      <c r="BC77" s="42" t="s">
        <v>73</v>
      </c>
      <c r="BD77" s="29"/>
      <c r="BE77" s="30" t="str">
        <f t="shared" si="32"/>
        <v>AL</v>
      </c>
      <c r="BF77" s="30" t="str">
        <f t="shared" si="33"/>
        <v>HDPE</v>
      </c>
      <c r="BG77" s="30" t="str">
        <f t="shared" si="34"/>
        <v>P</v>
      </c>
      <c r="BH77" s="30" t="str">
        <f t="shared" si="35"/>
        <v>M</v>
      </c>
      <c r="BI77" s="30" t="str">
        <f t="shared" si="36"/>
        <v>S</v>
      </c>
      <c r="BJ77" s="13"/>
      <c r="BK77" s="49" t="s">
        <v>164</v>
      </c>
      <c r="BL77" s="13"/>
      <c r="BM77" s="13"/>
      <c r="BN77" s="13"/>
      <c r="BO77" s="13"/>
      <c r="BP77" s="13"/>
      <c r="BQ77" s="13"/>
      <c r="BR77" s="13"/>
      <c r="BS77" s="13"/>
      <c r="BT77" s="13"/>
      <c r="BU77" s="13"/>
    </row>
    <row r="78" spans="1:84">
      <c r="A78" s="25" t="str">
        <f t="shared" si="37"/>
        <v>HVIL001-HDPE-RT-AL-S10.0-0073</v>
      </c>
      <c r="B78" s="48">
        <v>44105.583333333336</v>
      </c>
      <c r="C78" s="632"/>
      <c r="D78" s="632"/>
      <c r="E78" s="632"/>
      <c r="F78" s="51">
        <v>73</v>
      </c>
      <c r="G78" s="44" t="s">
        <v>82</v>
      </c>
      <c r="H78" s="37" t="s">
        <v>66</v>
      </c>
      <c r="I78" s="37" t="s">
        <v>87</v>
      </c>
      <c r="J78" s="37" t="s">
        <v>105</v>
      </c>
      <c r="K78" s="39">
        <v>10</v>
      </c>
      <c r="L78" s="39">
        <v>10</v>
      </c>
      <c r="M78" s="39">
        <v>1</v>
      </c>
      <c r="N78" s="31">
        <v>1.4179999999999999</v>
      </c>
      <c r="O78" s="63">
        <f>3.415-0.016</f>
        <v>3.399</v>
      </c>
      <c r="P78" s="37" t="s">
        <v>69</v>
      </c>
      <c r="Q78" s="53">
        <f>65022100/1000000</f>
        <v>65.022099999999995</v>
      </c>
      <c r="R78" s="53">
        <v>51.238492000000001</v>
      </c>
      <c r="S78" s="457">
        <f t="shared" si="27"/>
        <v>5854.9732494078862</v>
      </c>
      <c r="T78" s="537" t="s">
        <v>68</v>
      </c>
      <c r="U78" s="60">
        <v>1.7490000000000001</v>
      </c>
      <c r="V78" s="60">
        <v>125.005</v>
      </c>
      <c r="W78" s="60">
        <v>0.02</v>
      </c>
      <c r="X78" s="60">
        <v>363</v>
      </c>
      <c r="Y78" s="31">
        <v>90</v>
      </c>
      <c r="Z78" s="37" t="s">
        <v>71</v>
      </c>
      <c r="AA78" s="31">
        <v>220</v>
      </c>
      <c r="AB78" s="39" t="s">
        <v>83</v>
      </c>
      <c r="AC78" s="41">
        <v>0</v>
      </c>
      <c r="AD78" s="41" t="s">
        <v>73</v>
      </c>
      <c r="AE78" s="41" t="s">
        <v>100</v>
      </c>
      <c r="AF78" s="40" t="str">
        <f t="shared" si="29"/>
        <v>N/A</v>
      </c>
      <c r="AG78" s="40" t="str">
        <f t="shared" si="29"/>
        <v>N/A</v>
      </c>
      <c r="AH78" s="41" t="s">
        <v>102</v>
      </c>
      <c r="AI78" s="40" t="str">
        <f t="shared" si="30"/>
        <v>N/A</v>
      </c>
      <c r="AJ78" s="40" t="s">
        <v>73</v>
      </c>
      <c r="AK78" s="40" t="str">
        <f t="shared" si="17"/>
        <v>N/A</v>
      </c>
      <c r="AL78" s="40" t="s">
        <v>70</v>
      </c>
      <c r="AM78" s="40" t="str">
        <f t="shared" si="17"/>
        <v>N/A</v>
      </c>
      <c r="AN78" s="294">
        <v>0.55076999999999998</v>
      </c>
      <c r="AO78" s="294">
        <v>0.54790000000000005</v>
      </c>
      <c r="AP78" s="294">
        <f t="shared" si="31"/>
        <v>2.8699999999999282E-3</v>
      </c>
      <c r="AQ78" s="40" t="s">
        <v>75</v>
      </c>
      <c r="AR78" s="285">
        <v>161315</v>
      </c>
      <c r="AS78" s="28">
        <v>128</v>
      </c>
      <c r="AT78" s="28">
        <v>200</v>
      </c>
      <c r="AU78" s="34">
        <v>1000000</v>
      </c>
      <c r="AV78" s="278">
        <v>6</v>
      </c>
      <c r="AW78" s="278">
        <v>5.6</v>
      </c>
      <c r="AX78" s="278">
        <v>1.1000000000000001</v>
      </c>
      <c r="AY78" s="281">
        <v>0.34</v>
      </c>
      <c r="AZ78" s="61">
        <v>21.2</v>
      </c>
      <c r="BA78" s="271">
        <v>21.2</v>
      </c>
      <c r="BB78" s="31">
        <v>47</v>
      </c>
      <c r="BC78" s="42" t="s">
        <v>76</v>
      </c>
      <c r="BD78" s="29"/>
      <c r="BE78" s="30" t="str">
        <f t="shared" si="32"/>
        <v>AL</v>
      </c>
      <c r="BF78" s="30" t="str">
        <f t="shared" si="33"/>
        <v>HDPE</v>
      </c>
      <c r="BG78" s="30" t="str">
        <f t="shared" si="34"/>
        <v>P</v>
      </c>
      <c r="BH78" s="30" t="str">
        <f t="shared" si="35"/>
        <v>M</v>
      </c>
      <c r="BI78" s="30" t="str">
        <f t="shared" si="36"/>
        <v>S</v>
      </c>
      <c r="BJ78" s="13"/>
      <c r="BK78" s="49" t="s">
        <v>165</v>
      </c>
      <c r="BL78" s="13"/>
      <c r="BM78" s="13"/>
      <c r="BN78" s="13"/>
      <c r="BO78" s="13"/>
      <c r="BP78" s="13"/>
      <c r="BQ78" s="13"/>
      <c r="BR78" s="13"/>
      <c r="BS78" s="13"/>
      <c r="BT78" s="13"/>
      <c r="BU78" s="13"/>
    </row>
    <row r="79" spans="1:84" ht="15">
      <c r="A79" s="635" t="str">
        <f t="shared" si="37"/>
        <v>HVIL003-PMMA-RT-AL-S04.0-0074</v>
      </c>
      <c r="B79" s="48">
        <v>44106.635416666664</v>
      </c>
      <c r="C79" s="632"/>
      <c r="D79" s="632"/>
      <c r="E79" s="632"/>
      <c r="F79" s="50">
        <v>74</v>
      </c>
      <c r="G79" s="44" t="s">
        <v>137</v>
      </c>
      <c r="H79" s="37" t="s">
        <v>66</v>
      </c>
      <c r="I79" s="37" t="s">
        <v>87</v>
      </c>
      <c r="J79" s="37" t="s">
        <v>138</v>
      </c>
      <c r="K79" s="39">
        <v>4</v>
      </c>
      <c r="L79" s="39">
        <v>4</v>
      </c>
      <c r="M79" s="39">
        <v>1</v>
      </c>
      <c r="N79" s="31">
        <v>9.1999999999999998E-2</v>
      </c>
      <c r="O79" s="63">
        <f>2.15-0.015</f>
        <v>2.1349999999999998</v>
      </c>
      <c r="P79" s="37" t="s">
        <v>69</v>
      </c>
      <c r="Q79" s="53">
        <f>68819200/1000000</f>
        <v>68.819199999999995</v>
      </c>
      <c r="R79" s="53">
        <v>46.266964999999999</v>
      </c>
      <c r="S79" s="457">
        <f t="shared" si="27"/>
        <v>6484.1080455569108</v>
      </c>
      <c r="T79" s="537" t="s">
        <v>68</v>
      </c>
      <c r="U79" s="60">
        <v>1.748</v>
      </c>
      <c r="V79" s="60">
        <v>165</v>
      </c>
      <c r="W79" s="60">
        <v>0.02</v>
      </c>
      <c r="X79" s="60">
        <v>364.00400000000002</v>
      </c>
      <c r="Y79" s="31">
        <v>100</v>
      </c>
      <c r="Z79" s="37" t="s">
        <v>71</v>
      </c>
      <c r="AA79" s="31">
        <v>250</v>
      </c>
      <c r="AB79" s="39" t="s">
        <v>83</v>
      </c>
      <c r="AC79" s="41">
        <v>0</v>
      </c>
      <c r="AD79" s="41" t="s">
        <v>73</v>
      </c>
      <c r="AE79" s="41" t="s">
        <v>139</v>
      </c>
      <c r="AF79" s="40" t="str">
        <f t="shared" si="29"/>
        <v>N/A</v>
      </c>
      <c r="AG79" s="40" t="str">
        <f t="shared" si="29"/>
        <v>N/A</v>
      </c>
      <c r="AH79" s="41" t="s">
        <v>140</v>
      </c>
      <c r="AI79" s="40" t="str">
        <f t="shared" si="30"/>
        <v>N/A</v>
      </c>
      <c r="AJ79" s="40" t="s">
        <v>73</v>
      </c>
      <c r="AK79" s="40" t="str">
        <f t="shared" si="17"/>
        <v>N/A</v>
      </c>
      <c r="AL79" s="40" t="s">
        <v>70</v>
      </c>
      <c r="AM79" s="40" t="str">
        <f t="shared" si="17"/>
        <v>N/A</v>
      </c>
      <c r="AN79" s="294">
        <v>0.16733000000000001</v>
      </c>
      <c r="AO79" s="294" t="s">
        <v>68</v>
      </c>
      <c r="AP79" s="294" t="s">
        <v>68</v>
      </c>
      <c r="AQ79" s="40" t="s">
        <v>75</v>
      </c>
      <c r="AR79" s="285">
        <v>145597</v>
      </c>
      <c r="AS79" s="28">
        <v>128</v>
      </c>
      <c r="AT79" s="28">
        <v>200</v>
      </c>
      <c r="AU79" s="34">
        <v>1000000</v>
      </c>
      <c r="AV79" s="278">
        <v>6</v>
      </c>
      <c r="AW79" s="278">
        <v>5.6</v>
      </c>
      <c r="AX79" s="278">
        <v>1.1000000000000001</v>
      </c>
      <c r="AY79" s="281">
        <v>0.34</v>
      </c>
      <c r="AZ79" s="61">
        <v>21.2</v>
      </c>
      <c r="BA79" s="271">
        <v>21.2</v>
      </c>
      <c r="BB79" s="31">
        <v>47</v>
      </c>
      <c r="BC79" s="42" t="s">
        <v>73</v>
      </c>
      <c r="BD79" s="29"/>
      <c r="BE79" s="30" t="str">
        <f t="shared" si="32"/>
        <v>AL</v>
      </c>
      <c r="BF79" s="30" t="str">
        <f t="shared" si="33"/>
        <v>PMMA</v>
      </c>
      <c r="BG79" s="30" t="str">
        <f t="shared" si="34"/>
        <v>P</v>
      </c>
      <c r="BH79" s="30" t="str">
        <f t="shared" si="35"/>
        <v>M</v>
      </c>
      <c r="BI79" s="30" t="str">
        <f t="shared" si="36"/>
        <v>S</v>
      </c>
      <c r="BJ79" s="13"/>
      <c r="BK79" s="49" t="s">
        <v>166</v>
      </c>
      <c r="BL79" s="13"/>
      <c r="BM79" s="13"/>
      <c r="BN79" s="13"/>
      <c r="BO79" s="13"/>
      <c r="BP79" s="13"/>
      <c r="BQ79" s="13"/>
      <c r="BR79" s="13"/>
      <c r="BS79" s="13"/>
      <c r="BT79" s="13"/>
      <c r="BU79" s="13"/>
    </row>
    <row r="80" spans="1:84">
      <c r="A80" s="25" t="str">
        <f t="shared" si="37"/>
        <v>HVIL003-PMMA-RT-AL-S04.0-0075</v>
      </c>
      <c r="B80" s="48">
        <v>44110.666666666664</v>
      </c>
      <c r="C80" s="632"/>
      <c r="D80" s="632"/>
      <c r="E80" s="632"/>
      <c r="F80" s="50">
        <v>75</v>
      </c>
      <c r="G80" s="44" t="s">
        <v>137</v>
      </c>
      <c r="H80" s="37" t="s">
        <v>66</v>
      </c>
      <c r="I80" s="37" t="s">
        <v>87</v>
      </c>
      <c r="J80" s="37" t="s">
        <v>138</v>
      </c>
      <c r="K80" s="39">
        <v>4</v>
      </c>
      <c r="L80" s="39">
        <v>4</v>
      </c>
      <c r="M80" s="39">
        <v>1</v>
      </c>
      <c r="N80" s="31">
        <v>9.2999999999999999E-2</v>
      </c>
      <c r="O80" s="63">
        <f>2.163-0.018</f>
        <v>2.145</v>
      </c>
      <c r="P80" s="37" t="s">
        <v>69</v>
      </c>
      <c r="Q80" s="53">
        <f>61399100/1000000</f>
        <v>61.399099999999997</v>
      </c>
      <c r="R80" s="53">
        <v>48.687272</v>
      </c>
      <c r="S80" s="457">
        <f t="shared" si="27"/>
        <v>6161.7746831245749</v>
      </c>
      <c r="T80" s="537" t="s">
        <v>68</v>
      </c>
      <c r="U80" s="60">
        <v>1.758</v>
      </c>
      <c r="V80" s="60">
        <v>125.014</v>
      </c>
      <c r="W80" s="60">
        <v>0.02</v>
      </c>
      <c r="X80" s="60">
        <v>364.23700000000002</v>
      </c>
      <c r="Y80" s="31">
        <v>85</v>
      </c>
      <c r="Z80" s="37" t="s">
        <v>71</v>
      </c>
      <c r="AA80" s="31">
        <v>220</v>
      </c>
      <c r="AB80" s="39" t="s">
        <v>83</v>
      </c>
      <c r="AC80" s="41">
        <v>0</v>
      </c>
      <c r="AD80" s="41" t="s">
        <v>73</v>
      </c>
      <c r="AE80" s="41" t="s">
        <v>139</v>
      </c>
      <c r="AF80" s="40" t="str">
        <f t="shared" si="29"/>
        <v>N/A</v>
      </c>
      <c r="AG80" s="40" t="str">
        <f t="shared" si="29"/>
        <v>N/A</v>
      </c>
      <c r="AH80" s="41" t="s">
        <v>140</v>
      </c>
      <c r="AI80" s="40" t="str">
        <f t="shared" si="30"/>
        <v>N/A</v>
      </c>
      <c r="AJ80" s="40" t="s">
        <v>73</v>
      </c>
      <c r="AK80" s="40" t="str">
        <f t="shared" si="17"/>
        <v>N/A</v>
      </c>
      <c r="AL80" s="40" t="s">
        <v>70</v>
      </c>
      <c r="AM80" s="40" t="str">
        <f t="shared" si="17"/>
        <v>N/A</v>
      </c>
      <c r="AN80" s="294">
        <v>0.16156000000000001</v>
      </c>
      <c r="AO80" s="294">
        <v>0.16141</v>
      </c>
      <c r="AP80" s="294">
        <f t="shared" ref="AP80:AP91" si="38">AN80-AO80</f>
        <v>1.5000000000001124E-4</v>
      </c>
      <c r="AQ80" s="40" t="s">
        <v>75</v>
      </c>
      <c r="AR80" s="285">
        <v>153191</v>
      </c>
      <c r="AS80" s="28">
        <v>128</v>
      </c>
      <c r="AT80" s="28">
        <v>200</v>
      </c>
      <c r="AU80" s="34">
        <v>1000000</v>
      </c>
      <c r="AV80" s="278">
        <v>6</v>
      </c>
      <c r="AW80" s="278">
        <v>5.6</v>
      </c>
      <c r="AX80" s="278">
        <v>1.1000000000000001</v>
      </c>
      <c r="AY80" s="281">
        <v>0.34</v>
      </c>
      <c r="AZ80" s="61">
        <v>21.2</v>
      </c>
      <c r="BA80" s="271">
        <v>21.2</v>
      </c>
      <c r="BB80" s="31">
        <v>47</v>
      </c>
      <c r="BC80" s="42" t="s">
        <v>76</v>
      </c>
      <c r="BD80" s="29"/>
      <c r="BE80" s="30" t="str">
        <f t="shared" si="32"/>
        <v>AL</v>
      </c>
      <c r="BF80" s="30" t="str">
        <f t="shared" si="33"/>
        <v>PMMA</v>
      </c>
      <c r="BG80" s="30" t="str">
        <f t="shared" si="34"/>
        <v>P</v>
      </c>
      <c r="BH80" s="30" t="str">
        <f t="shared" si="35"/>
        <v>M</v>
      </c>
      <c r="BI80" s="30" t="str">
        <f t="shared" si="36"/>
        <v>S</v>
      </c>
      <c r="BJ80" s="13"/>
      <c r="BK80" s="49"/>
      <c r="BL80" s="13"/>
      <c r="BM80" s="13"/>
      <c r="BN80" s="13"/>
      <c r="BO80" s="13"/>
      <c r="BP80" s="13"/>
      <c r="BQ80" s="13"/>
      <c r="BR80" s="13"/>
      <c r="BS80" s="13"/>
      <c r="BT80" s="13"/>
      <c r="BU80" s="13"/>
    </row>
    <row r="81" spans="1:73" ht="15">
      <c r="A81" s="635" t="str">
        <f t="shared" si="37"/>
        <v>HVIL002-HPC-RT-ST-S10.0-0076</v>
      </c>
      <c r="B81" s="48">
        <v>44112.489583333336</v>
      </c>
      <c r="C81" s="632"/>
      <c r="D81" s="632"/>
      <c r="E81" s="632"/>
      <c r="F81" s="51">
        <v>76</v>
      </c>
      <c r="G81" s="44" t="s">
        <v>129</v>
      </c>
      <c r="H81" s="37" t="s">
        <v>66</v>
      </c>
      <c r="I81" s="37" t="s">
        <v>120</v>
      </c>
      <c r="J81" s="37" t="s">
        <v>131</v>
      </c>
      <c r="K81" s="39">
        <v>10</v>
      </c>
      <c r="L81" s="39">
        <v>10</v>
      </c>
      <c r="M81" s="39">
        <v>1</v>
      </c>
      <c r="N81" s="31">
        <v>4.0590000000000002</v>
      </c>
      <c r="O81" s="63">
        <f>6.066-0.018</f>
        <v>6.048</v>
      </c>
      <c r="P81" s="37" t="s">
        <v>69</v>
      </c>
      <c r="Q81" s="53">
        <f>74525700/1000000</f>
        <v>74.525700000000001</v>
      </c>
      <c r="R81" s="53">
        <v>119.334108</v>
      </c>
      <c r="S81" s="457">
        <f t="shared" si="27"/>
        <v>2513.9501608375035</v>
      </c>
      <c r="T81" s="537" t="s">
        <v>68</v>
      </c>
      <c r="U81" s="60">
        <v>1.75</v>
      </c>
      <c r="V81" s="60">
        <v>60.003999999999998</v>
      </c>
      <c r="W81" s="60">
        <v>0.02</v>
      </c>
      <c r="X81" s="60">
        <v>363.197</v>
      </c>
      <c r="Y81" s="31">
        <v>200</v>
      </c>
      <c r="Z81" s="37" t="s">
        <v>71</v>
      </c>
      <c r="AA81" s="31">
        <v>250</v>
      </c>
      <c r="AB81" s="39" t="s">
        <v>132</v>
      </c>
      <c r="AC81" s="41">
        <v>0</v>
      </c>
      <c r="AD81" s="41" t="s">
        <v>73</v>
      </c>
      <c r="AE81" s="41" t="s">
        <v>133</v>
      </c>
      <c r="AF81" s="40" t="str">
        <f t="shared" si="29"/>
        <v>N/A</v>
      </c>
      <c r="AG81" s="40" t="str">
        <f t="shared" si="29"/>
        <v>N/A</v>
      </c>
      <c r="AH81" s="41" t="s">
        <v>156</v>
      </c>
      <c r="AI81" s="40" t="str">
        <f t="shared" si="30"/>
        <v>N/A</v>
      </c>
      <c r="AJ81" s="40" t="s">
        <v>73</v>
      </c>
      <c r="AK81" s="40" t="str">
        <f t="shared" si="17"/>
        <v>N/A</v>
      </c>
      <c r="AL81" s="40" t="s">
        <v>70</v>
      </c>
      <c r="AM81" s="40" t="str">
        <f t="shared" si="17"/>
        <v>N/A</v>
      </c>
      <c r="AN81" s="294">
        <v>13.045999999999999</v>
      </c>
      <c r="AO81" s="294" t="s">
        <v>68</v>
      </c>
      <c r="AP81" s="294" t="s">
        <v>68</v>
      </c>
      <c r="AQ81" s="40" t="s">
        <v>75</v>
      </c>
      <c r="AR81" s="285">
        <v>464333</v>
      </c>
      <c r="AS81" s="28">
        <v>256</v>
      </c>
      <c r="AT81" s="28">
        <v>200</v>
      </c>
      <c r="AU81" s="34">
        <v>1000000</v>
      </c>
      <c r="AV81" s="278">
        <v>6</v>
      </c>
      <c r="AW81" s="278">
        <v>5.6</v>
      </c>
      <c r="AX81" s="278">
        <v>1.1000000000000001</v>
      </c>
      <c r="AY81" s="281">
        <v>0.34</v>
      </c>
      <c r="AZ81" s="61">
        <v>21.2</v>
      </c>
      <c r="BA81" s="271">
        <v>21.2</v>
      </c>
      <c r="BB81" s="31">
        <v>47</v>
      </c>
      <c r="BC81" s="42" t="s">
        <v>76</v>
      </c>
      <c r="BD81" s="29"/>
      <c r="BE81" s="30" t="str">
        <f t="shared" si="32"/>
        <v>ST</v>
      </c>
      <c r="BF81" s="30" t="str">
        <f t="shared" si="33"/>
        <v>HPC</v>
      </c>
      <c r="BG81" s="30" t="str">
        <f t="shared" si="34"/>
        <v>C</v>
      </c>
      <c r="BH81" s="30" t="str">
        <f t="shared" si="35"/>
        <v>M</v>
      </c>
      <c r="BI81" s="30" t="str">
        <f t="shared" si="36"/>
        <v>S</v>
      </c>
      <c r="BJ81" s="13"/>
      <c r="BK81" s="49" t="s">
        <v>167</v>
      </c>
      <c r="BL81" s="13"/>
      <c r="BM81" s="13"/>
      <c r="BN81" s="13"/>
      <c r="BO81" s="13"/>
      <c r="BP81" s="13"/>
      <c r="BQ81" s="13"/>
      <c r="BR81" s="13"/>
      <c r="BS81" s="13"/>
      <c r="BT81" s="13"/>
      <c r="BU81" s="13"/>
    </row>
    <row r="82" spans="1:73" ht="15">
      <c r="A82" s="635" t="str">
        <f t="shared" si="37"/>
        <v>HVIL001-UHMWPE-RT-AL-S10.0-0077</v>
      </c>
      <c r="B82" s="48">
        <v>44112.572916666664</v>
      </c>
      <c r="C82" s="632"/>
      <c r="D82" s="632"/>
      <c r="E82" s="632"/>
      <c r="F82" s="50">
        <v>77</v>
      </c>
      <c r="G82" s="44" t="s">
        <v>82</v>
      </c>
      <c r="H82" s="37" t="s">
        <v>66</v>
      </c>
      <c r="I82" s="37" t="s">
        <v>87</v>
      </c>
      <c r="J82" s="37" t="s">
        <v>105</v>
      </c>
      <c r="K82" s="39">
        <v>10</v>
      </c>
      <c r="L82" s="39">
        <v>10</v>
      </c>
      <c r="M82" s="39">
        <v>1</v>
      </c>
      <c r="N82" s="31">
        <v>1.415</v>
      </c>
      <c r="O82" s="63">
        <f>3.417-0.013</f>
        <v>3.4039999999999999</v>
      </c>
      <c r="P82" s="37" t="s">
        <v>69</v>
      </c>
      <c r="Q82" s="53">
        <f>73349400/1000000</f>
        <v>73.349400000000003</v>
      </c>
      <c r="R82" s="53">
        <v>73.992286000000007</v>
      </c>
      <c r="S82" s="457">
        <f t="shared" si="27"/>
        <v>4054.4767058555262</v>
      </c>
      <c r="T82" s="537" t="s">
        <v>68</v>
      </c>
      <c r="U82" s="60">
        <v>1.75</v>
      </c>
      <c r="V82" s="60">
        <v>83.001999999999995</v>
      </c>
      <c r="W82" s="60">
        <v>0.02</v>
      </c>
      <c r="X82" s="60">
        <v>364.06099999999998</v>
      </c>
      <c r="Y82" s="31">
        <v>100</v>
      </c>
      <c r="Z82" s="37" t="s">
        <v>71</v>
      </c>
      <c r="AA82" s="31">
        <v>250</v>
      </c>
      <c r="AB82" s="39" t="s">
        <v>83</v>
      </c>
      <c r="AC82" s="41">
        <v>0</v>
      </c>
      <c r="AD82" s="41" t="s">
        <v>73</v>
      </c>
      <c r="AE82" s="41" t="s">
        <v>108</v>
      </c>
      <c r="AF82" s="40" t="str">
        <f t="shared" si="29"/>
        <v>N/A</v>
      </c>
      <c r="AG82" s="40" t="str">
        <f t="shared" si="29"/>
        <v>N/A</v>
      </c>
      <c r="AH82" s="41" t="s">
        <v>109</v>
      </c>
      <c r="AI82" s="40" t="str">
        <f t="shared" si="30"/>
        <v>N/A</v>
      </c>
      <c r="AJ82" s="40" t="s">
        <v>73</v>
      </c>
      <c r="AK82" s="40" t="str">
        <f t="shared" si="17"/>
        <v>N/A</v>
      </c>
      <c r="AL82" s="40" t="s">
        <v>70</v>
      </c>
      <c r="AM82" s="40" t="str">
        <f t="shared" si="17"/>
        <v>N/A</v>
      </c>
      <c r="AN82" s="294">
        <v>0.58862000000000003</v>
      </c>
      <c r="AO82" s="294">
        <v>0.58592999999999995</v>
      </c>
      <c r="AP82" s="294">
        <f t="shared" si="38"/>
        <v>2.6900000000000812E-3</v>
      </c>
      <c r="AQ82" s="40" t="s">
        <v>75</v>
      </c>
      <c r="AR82" s="285">
        <v>288003</v>
      </c>
      <c r="AS82" s="28">
        <v>128</v>
      </c>
      <c r="AT82" s="28">
        <v>200</v>
      </c>
      <c r="AU82" s="34">
        <v>1000000</v>
      </c>
      <c r="AV82" s="278">
        <v>6</v>
      </c>
      <c r="AW82" s="278">
        <v>5.6</v>
      </c>
      <c r="AX82" s="278">
        <v>1.1000000000000001</v>
      </c>
      <c r="AY82" s="281">
        <v>0.34</v>
      </c>
      <c r="AZ82" s="61">
        <v>21.2</v>
      </c>
      <c r="BA82" s="271">
        <v>21.2</v>
      </c>
      <c r="BB82" s="31">
        <v>47</v>
      </c>
      <c r="BC82" s="42" t="s">
        <v>76</v>
      </c>
      <c r="BD82" s="29"/>
      <c r="BE82" s="30" t="str">
        <f t="shared" si="32"/>
        <v>AL</v>
      </c>
      <c r="BF82" s="30" t="str">
        <f t="shared" si="33"/>
        <v>UHMWPE</v>
      </c>
      <c r="BG82" s="30" t="str">
        <f t="shared" si="34"/>
        <v>P</v>
      </c>
      <c r="BH82" s="30" t="str">
        <f t="shared" si="35"/>
        <v>M</v>
      </c>
      <c r="BI82" s="30" t="str">
        <f t="shared" si="36"/>
        <v>S</v>
      </c>
      <c r="BJ82" s="13"/>
      <c r="BK82" s="49" t="s">
        <v>168</v>
      </c>
      <c r="BL82" s="13"/>
      <c r="BM82" s="13"/>
      <c r="BN82" s="13"/>
      <c r="BO82" s="13"/>
      <c r="BP82" s="13"/>
      <c r="BQ82" s="13"/>
      <c r="BR82" s="13"/>
      <c r="BS82" s="13"/>
      <c r="BT82" s="13"/>
      <c r="BU82" s="13"/>
    </row>
    <row r="83" spans="1:73">
      <c r="A83" s="25" t="str">
        <f t="shared" si="37"/>
        <v>HVIL005-ACC-RT-NY-S04.0-0078</v>
      </c>
      <c r="B83" s="48">
        <v>44117.625</v>
      </c>
      <c r="C83" s="632"/>
      <c r="D83" s="632"/>
      <c r="E83" s="632"/>
      <c r="F83" s="50">
        <v>78</v>
      </c>
      <c r="G83" s="44" t="s">
        <v>158</v>
      </c>
      <c r="H83" s="37" t="s">
        <v>83</v>
      </c>
      <c r="I83" s="37" t="s">
        <v>148</v>
      </c>
      <c r="J83" s="37" t="s">
        <v>149</v>
      </c>
      <c r="K83" s="39">
        <v>4</v>
      </c>
      <c r="L83" s="39">
        <v>4</v>
      </c>
      <c r="M83" s="39">
        <v>1</v>
      </c>
      <c r="N83" s="31">
        <v>3.6999999999999998E-2</v>
      </c>
      <c r="O83" s="63">
        <f>2.103-0.017</f>
        <v>2.0860000000000003</v>
      </c>
      <c r="P83" s="37" t="s">
        <v>69</v>
      </c>
      <c r="Q83" s="53">
        <f>76689300/1000000</f>
        <v>76.689300000000003</v>
      </c>
      <c r="R83" s="53">
        <v>159.82987499999999</v>
      </c>
      <c r="S83" s="457">
        <f t="shared" si="27"/>
        <v>1876.995774413263</v>
      </c>
      <c r="T83" s="537" t="s">
        <v>68</v>
      </c>
      <c r="U83" s="60">
        <v>1.7509999999999999</v>
      </c>
      <c r="V83" s="60">
        <v>50.003</v>
      </c>
      <c r="W83" s="60">
        <v>0.02</v>
      </c>
      <c r="X83" s="60">
        <v>362.84199999999998</v>
      </c>
      <c r="Y83" s="31">
        <v>200</v>
      </c>
      <c r="Z83" s="37" t="s">
        <v>71</v>
      </c>
      <c r="AA83" s="31">
        <v>250</v>
      </c>
      <c r="AB83" s="39" t="s">
        <v>72</v>
      </c>
      <c r="AC83" s="41">
        <v>45</v>
      </c>
      <c r="AD83" s="41" t="s">
        <v>73</v>
      </c>
      <c r="AE83" s="41" t="s">
        <v>159</v>
      </c>
      <c r="AF83" s="40" t="str">
        <f t="shared" si="29"/>
        <v>N/A</v>
      </c>
      <c r="AG83" s="40" t="str">
        <f t="shared" si="29"/>
        <v>N/A</v>
      </c>
      <c r="AH83" s="41" t="s">
        <v>160</v>
      </c>
      <c r="AI83" s="40" t="str">
        <f t="shared" si="30"/>
        <v>N/A</v>
      </c>
      <c r="AJ83" s="40" t="s">
        <v>73</v>
      </c>
      <c r="AK83" s="40" t="str">
        <f t="shared" si="17"/>
        <v>N/A</v>
      </c>
      <c r="AL83" s="40" t="s">
        <v>70</v>
      </c>
      <c r="AM83" s="40" t="str">
        <f t="shared" si="17"/>
        <v>N/A</v>
      </c>
      <c r="AN83" s="294">
        <v>4.9242000000000001E-2</v>
      </c>
      <c r="AO83" s="294">
        <v>4.8862000000000003E-2</v>
      </c>
      <c r="AP83" s="294">
        <f t="shared" si="38"/>
        <v>3.7999999999999839E-4</v>
      </c>
      <c r="AQ83" s="40" t="s">
        <v>75</v>
      </c>
      <c r="AR83" s="285">
        <v>696283</v>
      </c>
      <c r="AS83" s="28">
        <v>128</v>
      </c>
      <c r="AT83" s="28">
        <v>200</v>
      </c>
      <c r="AU83" s="34">
        <v>1000000</v>
      </c>
      <c r="AV83" s="278">
        <v>6</v>
      </c>
      <c r="AW83" s="278">
        <v>5.6</v>
      </c>
      <c r="AX83" s="278">
        <v>1.1000000000000001</v>
      </c>
      <c r="AY83" s="281">
        <v>0.34</v>
      </c>
      <c r="AZ83" s="61">
        <v>21.6</v>
      </c>
      <c r="BA83" s="271">
        <v>21.6</v>
      </c>
      <c r="BB83" s="31">
        <v>51</v>
      </c>
      <c r="BC83" s="42" t="s">
        <v>76</v>
      </c>
      <c r="BD83" s="29"/>
      <c r="BE83" s="30" t="str">
        <f t="shared" si="32"/>
        <v>NY</v>
      </c>
      <c r="BF83" s="30" t="str">
        <f t="shared" si="33"/>
        <v>ACC</v>
      </c>
      <c r="BG83" s="30" t="str">
        <f t="shared" si="34"/>
        <v>C</v>
      </c>
      <c r="BH83" s="30" t="str">
        <f t="shared" si="35"/>
        <v>P</v>
      </c>
      <c r="BI83" s="30" t="str">
        <f t="shared" si="36"/>
        <v>S</v>
      </c>
      <c r="BJ83" s="13"/>
      <c r="BK83" s="49" t="s">
        <v>169</v>
      </c>
      <c r="BL83" s="13"/>
      <c r="BM83" s="13"/>
      <c r="BN83" s="13"/>
      <c r="BO83" s="13"/>
      <c r="BP83" s="13"/>
      <c r="BQ83" s="13"/>
      <c r="BR83" s="13"/>
      <c r="BS83" s="13"/>
      <c r="BT83" s="13"/>
      <c r="BU83" s="13"/>
    </row>
    <row r="84" spans="1:73" ht="15">
      <c r="A84" s="635" t="str">
        <f t="shared" si="37"/>
        <v>HVIL005-ACC-RT-NY-S04.0-0079</v>
      </c>
      <c r="B84" s="48">
        <v>44119.453472222223</v>
      </c>
      <c r="C84" s="632"/>
      <c r="D84" s="632"/>
      <c r="E84" s="632"/>
      <c r="F84" s="51">
        <v>79</v>
      </c>
      <c r="G84" s="44" t="s">
        <v>158</v>
      </c>
      <c r="H84" s="37" t="s">
        <v>83</v>
      </c>
      <c r="I84" s="37" t="s">
        <v>148</v>
      </c>
      <c r="J84" s="37" t="s">
        <v>149</v>
      </c>
      <c r="K84" s="39">
        <v>4</v>
      </c>
      <c r="L84" s="39">
        <v>4</v>
      </c>
      <c r="M84" s="39">
        <v>1</v>
      </c>
      <c r="N84" s="31">
        <v>3.3300000000000003E-2</v>
      </c>
      <c r="O84" s="63">
        <f>2.099-0.019</f>
        <v>2.08</v>
      </c>
      <c r="P84" s="37" t="s">
        <v>69</v>
      </c>
      <c r="Q84" s="53">
        <f>94371000/1000000</f>
        <v>94.370999999999995</v>
      </c>
      <c r="R84" s="53">
        <v>152.19678400000001</v>
      </c>
      <c r="S84" s="457">
        <f t="shared" si="27"/>
        <v>1971.1323203780705</v>
      </c>
      <c r="T84" s="537" t="s">
        <v>68</v>
      </c>
      <c r="U84" s="60">
        <v>1.75</v>
      </c>
      <c r="V84" s="60">
        <v>55.012999999999998</v>
      </c>
      <c r="W84" s="60">
        <v>0.02</v>
      </c>
      <c r="X84" s="60">
        <v>362.41199999999998</v>
      </c>
      <c r="Y84" s="31">
        <v>200</v>
      </c>
      <c r="Z84" s="37" t="s">
        <v>71</v>
      </c>
      <c r="AA84" s="31">
        <v>250</v>
      </c>
      <c r="AB84" s="39" t="s">
        <v>72</v>
      </c>
      <c r="AC84" s="41">
        <v>60</v>
      </c>
      <c r="AD84" s="41" t="s">
        <v>73</v>
      </c>
      <c r="AE84" s="41" t="s">
        <v>159</v>
      </c>
      <c r="AF84" s="40" t="str">
        <f t="shared" si="29"/>
        <v>N/A</v>
      </c>
      <c r="AG84" s="40" t="str">
        <f t="shared" si="29"/>
        <v>N/A</v>
      </c>
      <c r="AH84" s="41" t="s">
        <v>160</v>
      </c>
      <c r="AI84" s="40" t="str">
        <f t="shared" ref="AI84:AI85" si="39">IF(AG84="N/A","N/A","")</f>
        <v>N/A</v>
      </c>
      <c r="AJ84" s="40" t="s">
        <v>73</v>
      </c>
      <c r="AK84" s="40" t="str">
        <f t="shared" si="17"/>
        <v>N/A</v>
      </c>
      <c r="AL84" s="40" t="s">
        <v>70</v>
      </c>
      <c r="AM84" s="40" t="str">
        <f t="shared" si="17"/>
        <v>N/A</v>
      </c>
      <c r="AN84" s="294">
        <v>5.0180000000000002E-2</v>
      </c>
      <c r="AO84" s="294">
        <v>4.9709999999999997E-2</v>
      </c>
      <c r="AP84" s="294">
        <f t="shared" si="38"/>
        <v>4.7000000000000514E-4</v>
      </c>
      <c r="AQ84" s="40" t="s">
        <v>75</v>
      </c>
      <c r="AR84" s="285">
        <v>675806</v>
      </c>
      <c r="AS84" s="28">
        <v>256</v>
      </c>
      <c r="AT84" s="28">
        <v>200</v>
      </c>
      <c r="AU84" s="34">
        <v>1000000</v>
      </c>
      <c r="AV84" s="278">
        <v>6</v>
      </c>
      <c r="AW84" s="278">
        <v>5.6</v>
      </c>
      <c r="AX84" s="278">
        <v>1.1000000000000001</v>
      </c>
      <c r="AY84" s="281">
        <v>0.34</v>
      </c>
      <c r="AZ84" s="61">
        <v>21.5</v>
      </c>
      <c r="BA84" s="271">
        <v>21.5</v>
      </c>
      <c r="BB84" s="31">
        <v>57</v>
      </c>
      <c r="BC84" s="42" t="s">
        <v>76</v>
      </c>
      <c r="BD84" s="29"/>
      <c r="BE84" s="30" t="str">
        <f t="shared" si="32"/>
        <v>NY</v>
      </c>
      <c r="BF84" s="30" t="str">
        <f t="shared" si="33"/>
        <v>ACC</v>
      </c>
      <c r="BG84" s="30" t="str">
        <f t="shared" si="34"/>
        <v>C</v>
      </c>
      <c r="BH84" s="30" t="str">
        <f t="shared" si="35"/>
        <v>P</v>
      </c>
      <c r="BI84" s="30" t="str">
        <f t="shared" si="36"/>
        <v>S</v>
      </c>
      <c r="BJ84" s="13"/>
      <c r="BK84" s="49" t="s">
        <v>169</v>
      </c>
      <c r="BL84" s="13"/>
      <c r="BM84" s="13"/>
      <c r="BN84" s="13"/>
      <c r="BO84" s="13"/>
      <c r="BP84" s="13"/>
      <c r="BQ84" s="13"/>
      <c r="BR84" s="13"/>
      <c r="BS84" s="13"/>
      <c r="BT84" s="13"/>
      <c r="BU84" s="13"/>
    </row>
    <row r="85" spans="1:73" ht="15">
      <c r="A85" s="636" t="str">
        <f t="shared" si="37"/>
        <v>HVIL002-HPC-RT-ST-S10.0-0080</v>
      </c>
      <c r="B85" s="601">
        <v>44119.604166666664</v>
      </c>
      <c r="C85" s="633"/>
      <c r="D85" s="633"/>
      <c r="E85" s="633"/>
      <c r="F85" s="50">
        <v>80</v>
      </c>
      <c r="G85" s="602" t="s">
        <v>129</v>
      </c>
      <c r="H85" s="37" t="s">
        <v>66</v>
      </c>
      <c r="I85" s="37" t="s">
        <v>120</v>
      </c>
      <c r="J85" s="37" t="s">
        <v>131</v>
      </c>
      <c r="K85" s="39">
        <v>10</v>
      </c>
      <c r="L85" s="39">
        <v>10</v>
      </c>
      <c r="M85" s="39">
        <v>1</v>
      </c>
      <c r="N85" s="31">
        <v>4.0590000000000002</v>
      </c>
      <c r="O85" s="63">
        <f>6.069-0.013</f>
        <v>6.056</v>
      </c>
      <c r="P85" s="37" t="s">
        <v>69</v>
      </c>
      <c r="Q85" s="53">
        <f>65031400/1000000</f>
        <v>65.031400000000005</v>
      </c>
      <c r="R85" s="53">
        <v>147.50798900000001</v>
      </c>
      <c r="S85" s="457">
        <f t="shared" ref="S85" si="40">IF(ISNUMBER(R85),distx/(R85*10^-6),"")</f>
        <v>2033.7881496032053</v>
      </c>
      <c r="T85" s="537" t="s">
        <v>68</v>
      </c>
      <c r="U85" s="60">
        <v>1.7509999999999999</v>
      </c>
      <c r="V85" s="60">
        <v>60.006999999999998</v>
      </c>
      <c r="W85" s="60">
        <v>0.02</v>
      </c>
      <c r="X85" s="60">
        <v>363.827</v>
      </c>
      <c r="Y85" s="31">
        <v>200</v>
      </c>
      <c r="Z85" s="37" t="s">
        <v>71</v>
      </c>
      <c r="AA85" s="31">
        <v>250</v>
      </c>
      <c r="AB85" s="39" t="s">
        <v>132</v>
      </c>
      <c r="AC85" s="41">
        <v>0</v>
      </c>
      <c r="AD85" s="41" t="s">
        <v>73</v>
      </c>
      <c r="AE85" s="41" t="s">
        <v>133</v>
      </c>
      <c r="AF85" s="41" t="str">
        <f t="shared" si="29"/>
        <v>N/A</v>
      </c>
      <c r="AG85" s="41" t="str">
        <f t="shared" si="29"/>
        <v>N/A</v>
      </c>
      <c r="AH85" s="41" t="s">
        <v>156</v>
      </c>
      <c r="AI85" s="41" t="str">
        <f t="shared" si="39"/>
        <v>N/A</v>
      </c>
      <c r="AJ85" s="41" t="s">
        <v>73</v>
      </c>
      <c r="AK85" s="41" t="str">
        <f t="shared" si="17"/>
        <v>N/A</v>
      </c>
      <c r="AL85" s="41" t="s">
        <v>70</v>
      </c>
      <c r="AM85" s="41" t="str">
        <f t="shared" si="17"/>
        <v>N/A</v>
      </c>
      <c r="AN85" s="294">
        <v>13.292</v>
      </c>
      <c r="AO85" s="294">
        <v>11.654</v>
      </c>
      <c r="AP85" s="294">
        <f t="shared" si="38"/>
        <v>1.6379999999999999</v>
      </c>
      <c r="AQ85" s="41" t="s">
        <v>75</v>
      </c>
      <c r="AR85" s="285">
        <v>452086</v>
      </c>
      <c r="AS85" s="603">
        <v>128</v>
      </c>
      <c r="AT85" s="603">
        <v>200</v>
      </c>
      <c r="AU85" s="34">
        <v>500000</v>
      </c>
      <c r="AV85" s="278">
        <v>6</v>
      </c>
      <c r="AW85" s="278">
        <v>5.6</v>
      </c>
      <c r="AX85" s="278">
        <v>1.1000000000000001</v>
      </c>
      <c r="AY85" s="281"/>
      <c r="AZ85" s="604">
        <v>22.1</v>
      </c>
      <c r="BA85" s="271">
        <v>22.1</v>
      </c>
      <c r="BB85" s="31">
        <v>57</v>
      </c>
      <c r="BC85" s="42" t="s">
        <v>76</v>
      </c>
      <c r="BD85" s="13"/>
      <c r="BE85" s="30" t="str">
        <f t="shared" si="32"/>
        <v>ST</v>
      </c>
      <c r="BF85" s="30" t="str">
        <f t="shared" si="33"/>
        <v>HPC</v>
      </c>
      <c r="BG85" s="30" t="str">
        <f t="shared" si="34"/>
        <v>C</v>
      </c>
      <c r="BH85" s="30" t="str">
        <f t="shared" si="35"/>
        <v>M</v>
      </c>
      <c r="BI85" s="30" t="str">
        <f t="shared" si="36"/>
        <v>S</v>
      </c>
      <c r="BJ85" s="13"/>
      <c r="BK85" s="49" t="s">
        <v>170</v>
      </c>
      <c r="BL85" s="13"/>
      <c r="BM85" s="13"/>
      <c r="BN85" s="13"/>
      <c r="BO85" s="13"/>
      <c r="BP85" s="13"/>
      <c r="BQ85" s="13"/>
      <c r="BR85" s="13"/>
      <c r="BS85" s="13"/>
      <c r="BT85" s="13"/>
      <c r="BU85" s="13"/>
    </row>
    <row r="86" spans="1:73" ht="15">
      <c r="A86" s="635" t="str">
        <f t="shared" si="37"/>
        <v>HVIL001-UHMWPE-RT-AL-S10.0-0081</v>
      </c>
      <c r="B86" s="48">
        <v>44120.458333333336</v>
      </c>
      <c r="C86" s="632"/>
      <c r="D86" s="632"/>
      <c r="E86" s="632"/>
      <c r="F86" s="50">
        <v>81</v>
      </c>
      <c r="G86" s="44" t="s">
        <v>82</v>
      </c>
      <c r="H86" s="37" t="s">
        <v>66</v>
      </c>
      <c r="I86" s="37" t="s">
        <v>87</v>
      </c>
      <c r="J86" s="37" t="s">
        <v>105</v>
      </c>
      <c r="K86" s="39">
        <v>10</v>
      </c>
      <c r="L86" s="39">
        <v>10</v>
      </c>
      <c r="M86" s="39">
        <v>1</v>
      </c>
      <c r="N86" s="31">
        <v>1.4179999999999999</v>
      </c>
      <c r="O86" s="63">
        <f>3.419-0.013</f>
        <v>3.4060000000000001</v>
      </c>
      <c r="P86" s="37" t="s">
        <v>69</v>
      </c>
      <c r="Q86" s="53">
        <f>82123800/1000000</f>
        <v>82.123800000000003</v>
      </c>
      <c r="R86" s="53">
        <v>114.249376</v>
      </c>
      <c r="S86" s="457">
        <f t="shared" si="27"/>
        <v>2625.8349104681324</v>
      </c>
      <c r="T86" s="537" t="s">
        <v>68</v>
      </c>
      <c r="U86" s="60">
        <v>1.748</v>
      </c>
      <c r="V86" s="60">
        <v>65</v>
      </c>
      <c r="W86" s="60">
        <v>0.02</v>
      </c>
      <c r="X86" s="60">
        <v>363.52100000000002</v>
      </c>
      <c r="Y86" s="31">
        <v>200</v>
      </c>
      <c r="Z86" s="37" t="s">
        <v>71</v>
      </c>
      <c r="AA86" s="31">
        <v>251</v>
      </c>
      <c r="AB86" s="39" t="s">
        <v>83</v>
      </c>
      <c r="AC86" s="41">
        <v>0</v>
      </c>
      <c r="AD86" s="41" t="s">
        <v>73</v>
      </c>
      <c r="AE86" s="41" t="s">
        <v>108</v>
      </c>
      <c r="AF86" s="40" t="str">
        <f t="shared" si="29"/>
        <v>N/A</v>
      </c>
      <c r="AG86" s="40" t="str">
        <f t="shared" si="29"/>
        <v>N/A</v>
      </c>
      <c r="AH86" s="41" t="s">
        <v>109</v>
      </c>
      <c r="AI86" s="40" t="str">
        <f t="shared" si="30"/>
        <v>N/A</v>
      </c>
      <c r="AJ86" s="40" t="s">
        <v>73</v>
      </c>
      <c r="AK86" s="40" t="str">
        <f t="shared" si="17"/>
        <v>N/A</v>
      </c>
      <c r="AL86" s="41" t="s">
        <v>70</v>
      </c>
      <c r="AM86" s="40" t="str">
        <f t="shared" si="17"/>
        <v>N/A</v>
      </c>
      <c r="AN86" s="294">
        <v>0.58982000000000001</v>
      </c>
      <c r="AO86" s="294">
        <v>0.58814</v>
      </c>
      <c r="AP86" s="294">
        <f t="shared" si="38"/>
        <v>1.6800000000000148E-3</v>
      </c>
      <c r="AQ86" s="40" t="s">
        <v>75</v>
      </c>
      <c r="AR86" s="285">
        <v>414607</v>
      </c>
      <c r="AS86" s="28">
        <v>128</v>
      </c>
      <c r="AT86" s="28">
        <v>200</v>
      </c>
      <c r="AU86" s="34">
        <v>1000000</v>
      </c>
      <c r="AV86" s="278">
        <v>6</v>
      </c>
      <c r="AW86" s="278">
        <v>5.6</v>
      </c>
      <c r="AX86" s="278">
        <v>1.1000000000000001</v>
      </c>
      <c r="AY86" s="281">
        <v>0.34</v>
      </c>
      <c r="AZ86" s="604">
        <v>22.1</v>
      </c>
      <c r="BA86" s="271">
        <v>22.1</v>
      </c>
      <c r="BB86" s="31">
        <v>57</v>
      </c>
      <c r="BC86" s="42" t="s">
        <v>76</v>
      </c>
      <c r="BD86" s="29"/>
      <c r="BE86" s="30" t="str">
        <f t="shared" si="32"/>
        <v>AL</v>
      </c>
      <c r="BF86" s="30" t="str">
        <f t="shared" si="33"/>
        <v>UHMWPE</v>
      </c>
      <c r="BG86" s="30" t="str">
        <f t="shared" si="34"/>
        <v>P</v>
      </c>
      <c r="BH86" s="30" t="str">
        <f t="shared" si="35"/>
        <v>M</v>
      </c>
      <c r="BI86" s="30" t="str">
        <f t="shared" si="36"/>
        <v>S</v>
      </c>
      <c r="BJ86" s="13"/>
      <c r="BK86" s="49" t="s">
        <v>171</v>
      </c>
      <c r="BL86" s="13"/>
      <c r="BM86" s="13"/>
      <c r="BN86" s="13"/>
      <c r="BO86" s="13"/>
      <c r="BP86" s="13"/>
      <c r="BQ86" s="13"/>
      <c r="BR86" s="13"/>
      <c r="BS86" s="13"/>
      <c r="BT86" s="13"/>
      <c r="BU86" s="13"/>
    </row>
    <row r="87" spans="1:73">
      <c r="A87" s="25" t="str">
        <f t="shared" si="37"/>
        <v>HVIL001-UHMWPE-RT-AL-S10.0-0082</v>
      </c>
      <c r="B87" s="48">
        <v>44120.5</v>
      </c>
      <c r="C87" s="632"/>
      <c r="D87" s="632"/>
      <c r="E87" s="632"/>
      <c r="F87" s="51">
        <v>82</v>
      </c>
      <c r="G87" s="44" t="s">
        <v>82</v>
      </c>
      <c r="H87" s="37" t="s">
        <v>66</v>
      </c>
      <c r="I87" s="37" t="s">
        <v>87</v>
      </c>
      <c r="J87" s="37" t="s">
        <v>105</v>
      </c>
      <c r="K87" s="39">
        <v>10</v>
      </c>
      <c r="L87" s="39">
        <v>10</v>
      </c>
      <c r="M87" s="39">
        <v>1</v>
      </c>
      <c r="N87" s="31">
        <v>1.417</v>
      </c>
      <c r="O87" s="63">
        <v>3.42</v>
      </c>
      <c r="P87" s="37" t="s">
        <v>69</v>
      </c>
      <c r="Q87" s="472">
        <f>73615900/1000000</f>
        <v>73.615899999999996</v>
      </c>
      <c r="R87" s="53">
        <v>96.564425999999997</v>
      </c>
      <c r="S87" s="457">
        <f t="shared" si="27"/>
        <v>3106.7341507316578</v>
      </c>
      <c r="T87" s="537" t="s">
        <v>68</v>
      </c>
      <c r="U87" s="60">
        <v>1.75</v>
      </c>
      <c r="V87" s="60">
        <v>70.010000000000005</v>
      </c>
      <c r="W87" s="60">
        <v>0.02</v>
      </c>
      <c r="X87" s="60">
        <v>363.72300000000001</v>
      </c>
      <c r="Y87" s="31">
        <v>200</v>
      </c>
      <c r="Z87" s="37" t="s">
        <v>71</v>
      </c>
      <c r="AA87" s="31">
        <v>250</v>
      </c>
      <c r="AB87" s="39" t="s">
        <v>83</v>
      </c>
      <c r="AC87" s="41">
        <v>0</v>
      </c>
      <c r="AD87" s="41" t="s">
        <v>73</v>
      </c>
      <c r="AE87" s="41" t="s">
        <v>108</v>
      </c>
      <c r="AF87" s="40" t="s">
        <v>70</v>
      </c>
      <c r="AG87" s="40" t="str">
        <f t="shared" si="29"/>
        <v>N/A</v>
      </c>
      <c r="AH87" s="41" t="s">
        <v>109</v>
      </c>
      <c r="AI87" s="40" t="str">
        <f t="shared" si="30"/>
        <v>N/A</v>
      </c>
      <c r="AJ87" s="40" t="s">
        <v>73</v>
      </c>
      <c r="AK87" s="40" t="s">
        <v>70</v>
      </c>
      <c r="AL87" s="40" t="s">
        <v>68</v>
      </c>
      <c r="AM87" s="40" t="str">
        <f t="shared" ref="AK87:AM107" si="41">IF($AJ87="N","N/A"," ")</f>
        <v>N/A</v>
      </c>
      <c r="AN87" s="294">
        <v>0.58945000000000003</v>
      </c>
      <c r="AO87" s="294">
        <v>0.58764000000000005</v>
      </c>
      <c r="AP87" s="294">
        <f t="shared" si="38"/>
        <v>1.8099999999999783E-3</v>
      </c>
      <c r="AQ87" s="40" t="s">
        <v>75</v>
      </c>
      <c r="AR87" s="285">
        <v>350408</v>
      </c>
      <c r="AS87" s="28">
        <v>128</v>
      </c>
      <c r="AT87" s="28">
        <v>200</v>
      </c>
      <c r="AU87" s="34">
        <v>1000000</v>
      </c>
      <c r="AV87" s="278">
        <v>6</v>
      </c>
      <c r="AW87" s="278">
        <v>5.6</v>
      </c>
      <c r="AX87" s="278">
        <v>1.1000000000000001</v>
      </c>
      <c r="AY87" s="281">
        <v>0.34</v>
      </c>
      <c r="AZ87" s="61">
        <v>22.1</v>
      </c>
      <c r="BA87" s="271">
        <v>22.1</v>
      </c>
      <c r="BB87" s="31">
        <v>57</v>
      </c>
      <c r="BC87" s="42" t="s">
        <v>76</v>
      </c>
      <c r="BD87" s="29"/>
      <c r="BE87" s="30" t="str">
        <f t="shared" si="32"/>
        <v>AL</v>
      </c>
      <c r="BF87" s="30" t="str">
        <f t="shared" si="33"/>
        <v>UHMWPE</v>
      </c>
      <c r="BG87" s="30" t="str">
        <f t="shared" si="34"/>
        <v>P</v>
      </c>
      <c r="BH87" s="30" t="str">
        <f t="shared" si="35"/>
        <v>M</v>
      </c>
      <c r="BI87" s="30" t="str">
        <f t="shared" si="36"/>
        <v>S</v>
      </c>
      <c r="BJ87" s="13"/>
      <c r="BK87" s="49"/>
      <c r="BL87" s="13"/>
      <c r="BM87" s="13"/>
      <c r="BN87" s="13"/>
      <c r="BO87" s="13"/>
      <c r="BP87" s="13"/>
      <c r="BQ87" s="13"/>
      <c r="BR87" s="13"/>
      <c r="BS87" s="13"/>
      <c r="BT87" s="13"/>
      <c r="BU87" s="13"/>
    </row>
    <row r="88" spans="1:73" ht="15">
      <c r="A88" s="635" t="str">
        <f t="shared" si="37"/>
        <v>HVIL001-UHMWPE-RT-AL-S10.0-0083</v>
      </c>
      <c r="B88" s="48">
        <v>44120.576388888891</v>
      </c>
      <c r="C88" s="632"/>
      <c r="D88" s="632"/>
      <c r="E88" s="632"/>
      <c r="F88" s="50">
        <v>83</v>
      </c>
      <c r="G88" s="44" t="s">
        <v>82</v>
      </c>
      <c r="H88" s="37" t="s">
        <v>66</v>
      </c>
      <c r="I88" s="37" t="s">
        <v>87</v>
      </c>
      <c r="J88" s="37" t="s">
        <v>105</v>
      </c>
      <c r="K88" s="39">
        <v>10</v>
      </c>
      <c r="L88" s="39">
        <v>10</v>
      </c>
      <c r="M88" s="39">
        <v>1</v>
      </c>
      <c r="N88" s="31">
        <v>1.417</v>
      </c>
      <c r="O88" s="63">
        <f>3.419-0.016</f>
        <v>3.403</v>
      </c>
      <c r="P88" s="37" t="s">
        <v>69</v>
      </c>
      <c r="Q88" s="53">
        <f>77939900/1000000</f>
        <v>77.939899999999994</v>
      </c>
      <c r="R88" s="53">
        <v>92.771153999999996</v>
      </c>
      <c r="S88" s="457">
        <f t="shared" ref="S88:S107" si="42">IF(ISNUMBER(R88),distx/(R88*10^-6),"")</f>
        <v>3233.7638055035945</v>
      </c>
      <c r="T88" s="537" t="s">
        <v>68</v>
      </c>
      <c r="U88" s="60">
        <v>1.748</v>
      </c>
      <c r="V88" s="60">
        <v>75.036000000000001</v>
      </c>
      <c r="W88" s="60">
        <v>0.02</v>
      </c>
      <c r="X88" s="60">
        <v>363.601</v>
      </c>
      <c r="Y88" s="31">
        <v>200</v>
      </c>
      <c r="Z88" s="37" t="s">
        <v>71</v>
      </c>
      <c r="AA88" s="31">
        <v>250</v>
      </c>
      <c r="AB88" s="39" t="s">
        <v>83</v>
      </c>
      <c r="AC88" s="41">
        <v>0</v>
      </c>
      <c r="AD88" s="41" t="s">
        <v>73</v>
      </c>
      <c r="AE88" s="41" t="s">
        <v>108</v>
      </c>
      <c r="AF88" s="40" t="s">
        <v>70</v>
      </c>
      <c r="AG88" s="40" t="str">
        <f t="shared" si="29"/>
        <v>N/A</v>
      </c>
      <c r="AH88" s="41" t="s">
        <v>109</v>
      </c>
      <c r="AI88" s="40" t="str">
        <f t="shared" ref="AI88" si="43">IF(AG88="N/A","N/A","")</f>
        <v>N/A</v>
      </c>
      <c r="AJ88" s="40" t="s">
        <v>73</v>
      </c>
      <c r="AK88" s="40" t="s">
        <v>70</v>
      </c>
      <c r="AL88" s="40" t="s">
        <v>68</v>
      </c>
      <c r="AM88" s="40" t="str">
        <f t="shared" si="41"/>
        <v>N/A</v>
      </c>
      <c r="AN88" s="294">
        <v>0.57377999999999996</v>
      </c>
      <c r="AO88" s="294">
        <v>0.57181000000000004</v>
      </c>
      <c r="AP88" s="294">
        <f t="shared" si="38"/>
        <v>1.9699999999999163E-3</v>
      </c>
      <c r="AQ88" s="40" t="s">
        <v>75</v>
      </c>
      <c r="AR88" s="285">
        <v>336506</v>
      </c>
      <c r="AS88" s="28">
        <v>128</v>
      </c>
      <c r="AT88" s="28">
        <v>200</v>
      </c>
      <c r="AU88" s="34">
        <v>1000000</v>
      </c>
      <c r="AV88" s="278">
        <v>6</v>
      </c>
      <c r="AW88" s="278">
        <v>5.6</v>
      </c>
      <c r="AX88" s="278">
        <v>1.1000000000000001</v>
      </c>
      <c r="AY88" s="281">
        <v>0.34</v>
      </c>
      <c r="AZ88" s="61">
        <v>22.1</v>
      </c>
      <c r="BA88" s="271">
        <v>22.1</v>
      </c>
      <c r="BB88" s="31">
        <v>57</v>
      </c>
      <c r="BC88" s="42" t="s">
        <v>76</v>
      </c>
      <c r="BD88" s="29"/>
      <c r="BE88" s="30" t="str">
        <f t="shared" si="32"/>
        <v>AL</v>
      </c>
      <c r="BF88" s="30" t="str">
        <f t="shared" si="33"/>
        <v>UHMWPE</v>
      </c>
      <c r="BG88" s="30" t="str">
        <f t="shared" si="34"/>
        <v>P</v>
      </c>
      <c r="BH88" s="30" t="str">
        <f t="shared" si="35"/>
        <v>M</v>
      </c>
      <c r="BI88" s="30" t="str">
        <f t="shared" si="36"/>
        <v>S</v>
      </c>
      <c r="BJ88" s="13"/>
      <c r="BK88" s="49"/>
      <c r="BL88" s="13"/>
      <c r="BM88" s="13"/>
      <c r="BN88" s="13"/>
      <c r="BO88" s="13"/>
      <c r="BP88" s="13"/>
      <c r="BQ88" s="13"/>
      <c r="BR88" s="13"/>
      <c r="BS88" s="13"/>
      <c r="BT88" s="13"/>
      <c r="BU88" s="13"/>
    </row>
    <row r="89" spans="1:73" ht="15">
      <c r="A89" s="635" t="str">
        <f t="shared" si="37"/>
        <v>HVIL001-UHMWPE-RT-AL-S10.0-0084</v>
      </c>
      <c r="B89" s="48">
        <v>44120.631944444445</v>
      </c>
      <c r="C89" s="632"/>
      <c r="D89" s="632"/>
      <c r="E89" s="632"/>
      <c r="F89" s="50">
        <v>84</v>
      </c>
      <c r="G89" s="44" t="s">
        <v>82</v>
      </c>
      <c r="H89" s="37" t="s">
        <v>66</v>
      </c>
      <c r="I89" s="37" t="s">
        <v>87</v>
      </c>
      <c r="J89" s="37" t="s">
        <v>105</v>
      </c>
      <c r="K89" s="39">
        <v>10</v>
      </c>
      <c r="L89" s="39">
        <v>10</v>
      </c>
      <c r="M89" s="39">
        <v>1</v>
      </c>
      <c r="N89" s="31">
        <v>1.4179999999999999</v>
      </c>
      <c r="O89" s="63">
        <f>3.419-0.016</f>
        <v>3.403</v>
      </c>
      <c r="P89" s="37" t="s">
        <v>69</v>
      </c>
      <c r="Q89" s="53">
        <f>82773400/1000000</f>
        <v>82.773399999999995</v>
      </c>
      <c r="R89" s="53">
        <v>85.800329000000005</v>
      </c>
      <c r="S89" s="457">
        <f t="shared" si="42"/>
        <v>3496.4900892163246</v>
      </c>
      <c r="T89" s="537" t="s">
        <v>68</v>
      </c>
      <c r="U89" s="60">
        <v>1.75</v>
      </c>
      <c r="V89" s="60">
        <v>75</v>
      </c>
      <c r="W89" s="60">
        <v>0.02</v>
      </c>
      <c r="X89" s="60">
        <v>363.29399999999998</v>
      </c>
      <c r="Y89" s="31">
        <v>110</v>
      </c>
      <c r="Z89" s="37" t="s">
        <v>71</v>
      </c>
      <c r="AA89" s="31">
        <v>250</v>
      </c>
      <c r="AB89" s="39" t="s">
        <v>83</v>
      </c>
      <c r="AC89" s="41">
        <v>0</v>
      </c>
      <c r="AD89" s="41" t="s">
        <v>73</v>
      </c>
      <c r="AE89" s="41" t="s">
        <v>108</v>
      </c>
      <c r="AF89" s="40" t="s">
        <v>70</v>
      </c>
      <c r="AG89" s="40" t="str">
        <f t="shared" si="29"/>
        <v>N/A</v>
      </c>
      <c r="AH89" s="41" t="s">
        <v>109</v>
      </c>
      <c r="AI89" s="40" t="str">
        <f t="shared" ref="AI89" si="44">IF(AG89="N/A","N/A","")</f>
        <v>N/A</v>
      </c>
      <c r="AJ89" s="40" t="s">
        <v>73</v>
      </c>
      <c r="AK89" s="40" t="s">
        <v>70</v>
      </c>
      <c r="AL89" s="40" t="s">
        <v>68</v>
      </c>
      <c r="AM89" s="40" t="str">
        <f t="shared" si="41"/>
        <v>N/A</v>
      </c>
      <c r="AN89" s="294">
        <v>0.57762999999999998</v>
      </c>
      <c r="AO89" s="294">
        <v>0.57528000000000001</v>
      </c>
      <c r="AP89" s="294">
        <f t="shared" si="38"/>
        <v>2.3499999999999632E-3</v>
      </c>
      <c r="AQ89" s="40" t="s">
        <v>75</v>
      </c>
      <c r="AR89" s="285">
        <v>311108</v>
      </c>
      <c r="AS89" s="28">
        <v>128</v>
      </c>
      <c r="AT89" s="28">
        <v>200</v>
      </c>
      <c r="AU89" s="34">
        <v>1000000</v>
      </c>
      <c r="AV89" s="278">
        <v>6</v>
      </c>
      <c r="AW89" s="278">
        <v>5.6</v>
      </c>
      <c r="AX89" s="278">
        <v>1.1000000000000001</v>
      </c>
      <c r="AY89" s="281">
        <v>0.34</v>
      </c>
      <c r="AZ89" s="61">
        <v>22.1</v>
      </c>
      <c r="BA89" s="271">
        <v>22.1</v>
      </c>
      <c r="BB89" s="31">
        <v>57</v>
      </c>
      <c r="BC89" s="42" t="s">
        <v>76</v>
      </c>
      <c r="BD89" s="29"/>
      <c r="BE89" s="30" t="str">
        <f t="shared" si="32"/>
        <v>AL</v>
      </c>
      <c r="BF89" s="30" t="str">
        <f t="shared" si="33"/>
        <v>UHMWPE</v>
      </c>
      <c r="BG89" s="30" t="str">
        <f t="shared" si="34"/>
        <v>P</v>
      </c>
      <c r="BH89" s="30" t="str">
        <f t="shared" si="35"/>
        <v>M</v>
      </c>
      <c r="BI89" s="30" t="str">
        <f t="shared" si="36"/>
        <v>S</v>
      </c>
      <c r="BJ89" s="13"/>
      <c r="BK89" s="49"/>
      <c r="BL89" s="13"/>
      <c r="BM89" s="13"/>
      <c r="BN89" s="13"/>
      <c r="BO89" s="13"/>
      <c r="BP89" s="13"/>
      <c r="BQ89" s="13"/>
      <c r="BR89" s="13"/>
      <c r="BS89" s="13"/>
      <c r="BT89" s="13"/>
      <c r="BU89" s="13"/>
    </row>
    <row r="90" spans="1:73" ht="15">
      <c r="A90" s="635" t="str">
        <f t="shared" si="37"/>
        <v>HVIL001-HDPE-RT-AL-S10.0-0085</v>
      </c>
      <c r="B90" s="48">
        <v>44124</v>
      </c>
      <c r="C90" s="632"/>
      <c r="D90" s="632"/>
      <c r="E90" s="632"/>
      <c r="F90" s="51">
        <v>85</v>
      </c>
      <c r="G90" s="44" t="s">
        <v>82</v>
      </c>
      <c r="H90" s="37" t="s">
        <v>66</v>
      </c>
      <c r="I90" s="37" t="s">
        <v>87</v>
      </c>
      <c r="J90" s="37" t="s">
        <v>105</v>
      </c>
      <c r="K90" s="39">
        <v>10</v>
      </c>
      <c r="L90" s="39">
        <v>10</v>
      </c>
      <c r="M90" s="39">
        <v>1</v>
      </c>
      <c r="N90" s="31">
        <v>1.415</v>
      </c>
      <c r="O90" s="63">
        <f>3.425-0.018</f>
        <v>3.407</v>
      </c>
      <c r="P90" s="37" t="s">
        <v>69</v>
      </c>
      <c r="Q90" s="605">
        <f>67909100/1000000</f>
        <v>67.909099999999995</v>
      </c>
      <c r="R90" s="53">
        <v>96.558846000000003</v>
      </c>
      <c r="S90" s="457">
        <f>IF(ISNUMBER(R90),distx/(R90*10^-6),"")</f>
        <v>3106.9136845318139</v>
      </c>
      <c r="T90" s="537" t="s">
        <v>68</v>
      </c>
      <c r="U90" s="60">
        <v>1.75</v>
      </c>
      <c r="V90" s="60">
        <v>70.001000000000005</v>
      </c>
      <c r="W90" s="60">
        <v>0.02</v>
      </c>
      <c r="X90" s="60">
        <v>363.226</v>
      </c>
      <c r="Y90" s="31">
        <v>200</v>
      </c>
      <c r="Z90" s="37" t="s">
        <v>71</v>
      </c>
      <c r="AA90" s="31">
        <v>250</v>
      </c>
      <c r="AB90" s="39" t="s">
        <v>83</v>
      </c>
      <c r="AC90" s="41">
        <v>0</v>
      </c>
      <c r="AD90" s="41" t="s">
        <v>73</v>
      </c>
      <c r="AE90" s="41" t="s">
        <v>100</v>
      </c>
      <c r="AF90" s="40" t="str">
        <f t="shared" si="29"/>
        <v>N/A</v>
      </c>
      <c r="AG90" s="40" t="str">
        <f t="shared" si="29"/>
        <v>N/A</v>
      </c>
      <c r="AH90" s="41" t="s">
        <v>102</v>
      </c>
      <c r="AI90" s="40" t="str">
        <f t="shared" si="30"/>
        <v>N/A</v>
      </c>
      <c r="AJ90" s="40" t="s">
        <v>73</v>
      </c>
      <c r="AK90" s="40" t="str">
        <f t="shared" si="41"/>
        <v>N/A</v>
      </c>
      <c r="AL90" s="40" t="s">
        <v>68</v>
      </c>
      <c r="AM90" s="40" t="str">
        <f t="shared" si="41"/>
        <v>N/A</v>
      </c>
      <c r="AN90" s="294">
        <v>0.55115999999999998</v>
      </c>
      <c r="AO90" s="294">
        <v>0.54974000000000001</v>
      </c>
      <c r="AP90" s="294">
        <f t="shared" si="38"/>
        <v>1.4199999999999768E-3</v>
      </c>
      <c r="AQ90" s="40" t="s">
        <v>75</v>
      </c>
      <c r="AR90" s="285">
        <v>343959</v>
      </c>
      <c r="AS90" s="28">
        <v>128</v>
      </c>
      <c r="AT90" s="28">
        <v>200</v>
      </c>
      <c r="AU90" s="34">
        <v>1000000</v>
      </c>
      <c r="AV90" s="278">
        <v>6</v>
      </c>
      <c r="AW90" s="278">
        <v>5.6</v>
      </c>
      <c r="AX90" s="278">
        <v>1.1000000000000001</v>
      </c>
      <c r="AY90" s="281">
        <v>0.33500000000000002</v>
      </c>
      <c r="AZ90" s="61">
        <v>21.5</v>
      </c>
      <c r="BA90" s="271">
        <v>21.5</v>
      </c>
      <c r="BB90" s="31">
        <v>59</v>
      </c>
      <c r="BC90" s="42" t="s">
        <v>76</v>
      </c>
      <c r="BD90" s="29"/>
      <c r="BE90" s="30" t="str">
        <f t="shared" si="32"/>
        <v>AL</v>
      </c>
      <c r="BF90" s="30" t="str">
        <f t="shared" si="33"/>
        <v>HDPE</v>
      </c>
      <c r="BG90" s="30" t="str">
        <f t="shared" si="34"/>
        <v>P</v>
      </c>
      <c r="BH90" s="30" t="str">
        <f t="shared" si="35"/>
        <v>M</v>
      </c>
      <c r="BI90" s="30" t="str">
        <f t="shared" si="36"/>
        <v>S</v>
      </c>
      <c r="BJ90" s="13"/>
      <c r="BK90" s="49"/>
      <c r="BL90" s="13"/>
      <c r="BM90" s="13"/>
      <c r="BN90" s="13"/>
      <c r="BO90" s="13"/>
      <c r="BP90" s="13"/>
      <c r="BQ90" s="13"/>
      <c r="BR90" s="13"/>
      <c r="BS90" s="13"/>
      <c r="BT90" s="13"/>
      <c r="BU90" s="13"/>
    </row>
    <row r="91" spans="1:73" ht="15">
      <c r="A91" s="635" t="str">
        <f t="shared" si="37"/>
        <v>HVIL001-HDPE-RT-AL-S10.0-0086</v>
      </c>
      <c r="B91" s="48">
        <v>44124.5625</v>
      </c>
      <c r="C91" s="632"/>
      <c r="D91" s="632"/>
      <c r="E91" s="632"/>
      <c r="F91" s="50">
        <v>86</v>
      </c>
      <c r="G91" s="44" t="s">
        <v>82</v>
      </c>
      <c r="H91" s="37" t="s">
        <v>66</v>
      </c>
      <c r="I91" s="37" t="s">
        <v>87</v>
      </c>
      <c r="J91" s="37" t="s">
        <v>105</v>
      </c>
      <c r="K91" s="39">
        <v>10</v>
      </c>
      <c r="L91" s="39">
        <v>10</v>
      </c>
      <c r="M91" s="39">
        <v>1</v>
      </c>
      <c r="N91" s="31">
        <v>1.4139999999999999</v>
      </c>
      <c r="O91" s="63">
        <f>3.424-0.019</f>
        <v>3.4049999999999998</v>
      </c>
      <c r="P91" s="37" t="s">
        <v>69</v>
      </c>
      <c r="Q91" s="609">
        <f>70577700/1000000</f>
        <v>70.577699999999993</v>
      </c>
      <c r="R91" s="53">
        <v>78.796099999999996</v>
      </c>
      <c r="S91" s="457">
        <f t="shared" si="42"/>
        <v>3807.2950310992551</v>
      </c>
      <c r="T91" s="626" t="s">
        <v>68</v>
      </c>
      <c r="U91" s="60">
        <v>1.752</v>
      </c>
      <c r="V91" s="60">
        <v>83.01</v>
      </c>
      <c r="W91" s="60">
        <v>0.02</v>
      </c>
      <c r="X91" s="60">
        <v>363.464</v>
      </c>
      <c r="Y91" s="31">
        <v>110</v>
      </c>
      <c r="Z91" s="37" t="s">
        <v>71</v>
      </c>
      <c r="AA91" s="31">
        <v>250</v>
      </c>
      <c r="AB91" s="39" t="s">
        <v>83</v>
      </c>
      <c r="AC91" s="41">
        <v>0</v>
      </c>
      <c r="AD91" s="41" t="s">
        <v>73</v>
      </c>
      <c r="AE91" s="41" t="s">
        <v>100</v>
      </c>
      <c r="AF91" s="40" t="str">
        <f t="shared" si="29"/>
        <v>N/A</v>
      </c>
      <c r="AG91" s="40" t="str">
        <f t="shared" si="29"/>
        <v>N/A</v>
      </c>
      <c r="AH91" s="41" t="s">
        <v>102</v>
      </c>
      <c r="AI91" s="40" t="str">
        <f t="shared" si="30"/>
        <v>N/A</v>
      </c>
      <c r="AJ91" s="40" t="s">
        <v>73</v>
      </c>
      <c r="AK91" s="40" t="s">
        <v>70</v>
      </c>
      <c r="AL91" s="40" t="s">
        <v>68</v>
      </c>
      <c r="AM91" s="40" t="str">
        <f t="shared" si="41"/>
        <v>N/A</v>
      </c>
      <c r="AN91" s="294">
        <v>0.54218</v>
      </c>
      <c r="AO91" s="294">
        <v>0.54049000000000003</v>
      </c>
      <c r="AP91" s="294">
        <f t="shared" si="38"/>
        <v>1.6899999999999693E-3</v>
      </c>
      <c r="AQ91" s="40" t="s">
        <v>75</v>
      </c>
      <c r="AR91" s="285">
        <v>280689</v>
      </c>
      <c r="AS91" s="28">
        <v>128</v>
      </c>
      <c r="AT91" s="28">
        <v>200</v>
      </c>
      <c r="AU91" s="34">
        <v>1000000</v>
      </c>
      <c r="AV91" s="278">
        <v>6</v>
      </c>
      <c r="AW91" s="278">
        <v>5.6</v>
      </c>
      <c r="AX91" s="278">
        <v>1.1000000000000001</v>
      </c>
      <c r="AY91" s="281">
        <v>0.34</v>
      </c>
      <c r="AZ91" s="61">
        <v>21.5</v>
      </c>
      <c r="BA91" s="271">
        <v>21.5</v>
      </c>
      <c r="BB91" s="31">
        <v>59</v>
      </c>
      <c r="BC91" s="42" t="s">
        <v>76</v>
      </c>
      <c r="BD91" s="29"/>
      <c r="BE91" s="30" t="str">
        <f t="shared" si="32"/>
        <v>AL</v>
      </c>
      <c r="BF91" s="30" t="str">
        <f t="shared" si="33"/>
        <v>HDPE</v>
      </c>
      <c r="BG91" s="30" t="str">
        <f t="shared" si="34"/>
        <v>P</v>
      </c>
      <c r="BH91" s="30" t="str">
        <f t="shared" si="35"/>
        <v>M</v>
      </c>
      <c r="BI91" s="30" t="str">
        <f t="shared" si="36"/>
        <v>S</v>
      </c>
      <c r="BJ91" s="13"/>
      <c r="BK91" s="49"/>
      <c r="BL91" s="13"/>
      <c r="BM91" s="13"/>
      <c r="BN91" s="13"/>
      <c r="BO91" s="13"/>
      <c r="BP91" s="13"/>
      <c r="BQ91" s="13"/>
      <c r="BR91" s="13"/>
      <c r="BS91" s="13"/>
      <c r="BT91" s="13"/>
      <c r="BU91" s="13"/>
    </row>
    <row r="92" spans="1:73" ht="15">
      <c r="A92" s="637" t="s">
        <v>172</v>
      </c>
      <c r="B92" s="610">
        <v>44126.5625</v>
      </c>
      <c r="C92" s="634"/>
      <c r="D92" s="634"/>
      <c r="E92" s="634"/>
      <c r="F92" s="611">
        <v>87</v>
      </c>
      <c r="G92" s="40" t="s">
        <v>129</v>
      </c>
      <c r="H92" s="40" t="s">
        <v>66</v>
      </c>
      <c r="I92" s="40" t="s">
        <v>130</v>
      </c>
      <c r="J92" s="40" t="s">
        <v>131</v>
      </c>
      <c r="K92" s="621">
        <v>10</v>
      </c>
      <c r="L92" s="621">
        <v>10</v>
      </c>
      <c r="M92" s="621">
        <v>1</v>
      </c>
      <c r="N92" s="613">
        <v>4.0599999999999996</v>
      </c>
      <c r="O92" s="612">
        <v>6.0449999999999999</v>
      </c>
      <c r="P92" s="40" t="s">
        <v>69</v>
      </c>
      <c r="Q92" s="612">
        <v>98.424800000000005</v>
      </c>
      <c r="R92" s="612">
        <v>132.495349</v>
      </c>
      <c r="S92" s="614">
        <v>2264.1999999999998</v>
      </c>
      <c r="T92" s="627" t="s">
        <v>68</v>
      </c>
      <c r="U92" s="613">
        <v>1.756</v>
      </c>
      <c r="V92" s="613">
        <v>65.322999999999993</v>
      </c>
      <c r="W92" s="613">
        <v>0.02</v>
      </c>
      <c r="X92" s="613">
        <v>363.13</v>
      </c>
      <c r="Y92" s="613">
        <v>300</v>
      </c>
      <c r="Z92" s="40" t="s">
        <v>71</v>
      </c>
      <c r="AA92" s="613">
        <v>250</v>
      </c>
      <c r="AB92" s="621" t="s">
        <v>132</v>
      </c>
      <c r="AC92" s="40">
        <v>0</v>
      </c>
      <c r="AD92" s="40" t="s">
        <v>73</v>
      </c>
      <c r="AE92" s="40" t="s">
        <v>133</v>
      </c>
      <c r="AF92" s="40" t="s">
        <v>70</v>
      </c>
      <c r="AG92" s="40" t="s">
        <v>70</v>
      </c>
      <c r="AH92" s="40" t="s">
        <v>173</v>
      </c>
      <c r="AI92" s="40" t="s">
        <v>70</v>
      </c>
      <c r="AJ92" s="40" t="s">
        <v>73</v>
      </c>
      <c r="AK92" s="40" t="s">
        <v>70</v>
      </c>
      <c r="AL92" s="40" t="s">
        <v>68</v>
      </c>
      <c r="AM92" s="40" t="s">
        <v>70</v>
      </c>
      <c r="AN92" s="40">
        <v>21.63</v>
      </c>
      <c r="AO92" s="40" t="s">
        <v>68</v>
      </c>
      <c r="AP92" s="40" t="s">
        <v>68</v>
      </c>
      <c r="AQ92" s="40" t="s">
        <v>75</v>
      </c>
      <c r="AR92" s="615">
        <v>338004</v>
      </c>
      <c r="AS92" s="612">
        <v>128</v>
      </c>
      <c r="AT92" s="612">
        <v>200</v>
      </c>
      <c r="AU92" s="623">
        <v>2000000</v>
      </c>
      <c r="AV92" s="40">
        <v>6</v>
      </c>
      <c r="AW92" s="40">
        <v>8</v>
      </c>
      <c r="AX92" s="40">
        <v>1.1000000000000001</v>
      </c>
      <c r="AY92" s="40">
        <v>0.33</v>
      </c>
      <c r="AZ92" s="612">
        <v>21.5</v>
      </c>
      <c r="BA92" s="613">
        <v>21.5</v>
      </c>
      <c r="BB92" s="613">
        <v>57</v>
      </c>
      <c r="BC92" s="624" t="s">
        <v>76</v>
      </c>
      <c r="BD92" s="29"/>
      <c r="BE92" s="30" t="str">
        <f t="shared" si="32"/>
        <v>S2</v>
      </c>
      <c r="BF92" s="30" t="str">
        <f t="shared" si="33"/>
        <v>HPC</v>
      </c>
      <c r="BG92" s="30" t="str">
        <f t="shared" si="34"/>
        <v>C</v>
      </c>
      <c r="BH92" s="30" t="str">
        <f t="shared" si="35"/>
        <v>M</v>
      </c>
      <c r="BI92" s="30" t="str">
        <f t="shared" si="36"/>
        <v>S</v>
      </c>
      <c r="BJ92" s="13"/>
      <c r="BK92" s="49"/>
      <c r="BL92" s="13"/>
      <c r="BM92" s="13"/>
      <c r="BN92" s="13"/>
      <c r="BO92" s="13"/>
      <c r="BP92" s="13"/>
      <c r="BQ92" s="13"/>
      <c r="BR92" s="13"/>
      <c r="BS92" s="13"/>
      <c r="BT92" s="13"/>
      <c r="BU92" s="13"/>
    </row>
    <row r="93" spans="1:73" ht="15">
      <c r="A93" s="639" t="s">
        <v>174</v>
      </c>
      <c r="B93" s="616">
        <v>44127.423611111109</v>
      </c>
      <c r="C93" s="634"/>
      <c r="D93" s="634"/>
      <c r="E93" s="634"/>
      <c r="F93" s="617">
        <v>88</v>
      </c>
      <c r="G93" s="40" t="s">
        <v>129</v>
      </c>
      <c r="H93" s="40" t="s">
        <v>66</v>
      </c>
      <c r="I93" s="40" t="s">
        <v>130</v>
      </c>
      <c r="J93" s="40" t="s">
        <v>131</v>
      </c>
      <c r="K93" s="40">
        <v>10</v>
      </c>
      <c r="L93" s="40">
        <v>10</v>
      </c>
      <c r="M93" s="40">
        <v>1</v>
      </c>
      <c r="N93" s="612">
        <v>4.0590000000000002</v>
      </c>
      <c r="O93" s="612">
        <v>6.0549999999999997</v>
      </c>
      <c r="P93" s="40" t="s">
        <v>69</v>
      </c>
      <c r="Q93" s="612">
        <v>72.442599999999999</v>
      </c>
      <c r="R93" s="612">
        <v>164.52334500000001</v>
      </c>
      <c r="S93" s="614">
        <v>1823.4</v>
      </c>
      <c r="T93" s="627" t="s">
        <v>68</v>
      </c>
      <c r="U93" s="612">
        <v>1.7490000000000001</v>
      </c>
      <c r="V93" s="612">
        <v>65</v>
      </c>
      <c r="W93" s="612">
        <v>0.02</v>
      </c>
      <c r="X93" s="612">
        <v>361.86799999999999</v>
      </c>
      <c r="Y93" s="612">
        <v>495</v>
      </c>
      <c r="Z93" s="40" t="s">
        <v>71</v>
      </c>
      <c r="AA93" s="612">
        <v>260</v>
      </c>
      <c r="AB93" s="40" t="s">
        <v>132</v>
      </c>
      <c r="AC93" s="40">
        <v>0</v>
      </c>
      <c r="AD93" s="40" t="s">
        <v>73</v>
      </c>
      <c r="AE93" s="40" t="s">
        <v>133</v>
      </c>
      <c r="AF93" s="40" t="s">
        <v>70</v>
      </c>
      <c r="AG93" s="40" t="s">
        <v>70</v>
      </c>
      <c r="AH93" s="40" t="s">
        <v>173</v>
      </c>
      <c r="AI93" s="40" t="s">
        <v>70</v>
      </c>
      <c r="AJ93" s="40" t="s">
        <v>73</v>
      </c>
      <c r="AK93" s="40" t="s">
        <v>70</v>
      </c>
      <c r="AL93" s="40" t="s">
        <v>68</v>
      </c>
      <c r="AM93" s="40" t="s">
        <v>70</v>
      </c>
      <c r="AN93" s="40">
        <v>22.574000000000002</v>
      </c>
      <c r="AO93" s="40">
        <v>21.675999999999998</v>
      </c>
      <c r="AP93" s="40">
        <v>0.89800000000000002</v>
      </c>
      <c r="AQ93" s="40" t="s">
        <v>75</v>
      </c>
      <c r="AR93" s="615">
        <v>419535</v>
      </c>
      <c r="AS93" s="612">
        <v>128</v>
      </c>
      <c r="AT93" s="612">
        <v>200</v>
      </c>
      <c r="AU93" s="623">
        <v>2000000</v>
      </c>
      <c r="AV93" s="40">
        <v>6</v>
      </c>
      <c r="AW93" s="40">
        <v>8</v>
      </c>
      <c r="AX93" s="40">
        <v>1.1000000000000001</v>
      </c>
      <c r="AY93" s="40">
        <v>0.33</v>
      </c>
      <c r="AZ93" s="612">
        <v>21.5</v>
      </c>
      <c r="BA93" s="612">
        <v>21.5</v>
      </c>
      <c r="BB93" s="612">
        <v>57</v>
      </c>
      <c r="BC93" s="624" t="s">
        <v>76</v>
      </c>
      <c r="BD93" s="29"/>
      <c r="BE93" s="30" t="str">
        <f t="shared" si="32"/>
        <v>S2</v>
      </c>
      <c r="BF93" s="30" t="str">
        <f t="shared" si="33"/>
        <v>HPC</v>
      </c>
      <c r="BG93" s="30" t="str">
        <f t="shared" si="34"/>
        <v>C</v>
      </c>
      <c r="BH93" s="30" t="str">
        <f t="shared" si="35"/>
        <v>M</v>
      </c>
      <c r="BI93" s="30" t="str">
        <f t="shared" si="36"/>
        <v>S</v>
      </c>
      <c r="BJ93" s="13"/>
      <c r="BK93" s="49"/>
      <c r="BL93" s="13"/>
      <c r="BM93" s="13"/>
      <c r="BN93" s="13"/>
      <c r="BO93" s="13"/>
      <c r="BP93" s="13"/>
      <c r="BQ93" s="13"/>
      <c r="BR93" s="13"/>
      <c r="BS93" s="13"/>
      <c r="BT93" s="13"/>
      <c r="BU93" s="13"/>
    </row>
    <row r="94" spans="1:73" ht="15">
      <c r="A94" s="637" t="s">
        <v>175</v>
      </c>
      <c r="B94" s="616">
        <v>44137.479166666664</v>
      </c>
      <c r="C94" s="634"/>
      <c r="D94" s="634"/>
      <c r="E94" s="634"/>
      <c r="F94" s="611">
        <v>89</v>
      </c>
      <c r="G94" s="40" t="s">
        <v>82</v>
      </c>
      <c r="H94" s="40" t="s">
        <v>66</v>
      </c>
      <c r="I94" s="40" t="s">
        <v>87</v>
      </c>
      <c r="J94" s="40" t="s">
        <v>105</v>
      </c>
      <c r="K94" s="40">
        <v>10</v>
      </c>
      <c r="L94" s="40">
        <v>10</v>
      </c>
      <c r="M94" s="40">
        <v>1</v>
      </c>
      <c r="N94" s="612">
        <v>1.4139999999999999</v>
      </c>
      <c r="O94" s="612">
        <v>3.395</v>
      </c>
      <c r="P94" s="622" t="s">
        <v>69</v>
      </c>
      <c r="Q94" s="618">
        <v>46.1586</v>
      </c>
      <c r="R94" s="612">
        <v>50.80791</v>
      </c>
      <c r="S94" s="614">
        <v>5933.1</v>
      </c>
      <c r="T94" s="627" t="s">
        <v>68</v>
      </c>
      <c r="U94" s="612">
        <v>1.7490000000000001</v>
      </c>
      <c r="V94" s="612">
        <v>129.999</v>
      </c>
      <c r="W94" s="612">
        <v>0.02</v>
      </c>
      <c r="X94" s="612">
        <v>363.05200000000002</v>
      </c>
      <c r="Y94" s="612">
        <v>80</v>
      </c>
      <c r="Z94" s="40" t="s">
        <v>71</v>
      </c>
      <c r="AA94" s="612">
        <v>220</v>
      </c>
      <c r="AB94" s="40" t="s">
        <v>83</v>
      </c>
      <c r="AC94" s="40">
        <v>0</v>
      </c>
      <c r="AD94" s="40" t="s">
        <v>73</v>
      </c>
      <c r="AE94" s="40" t="s">
        <v>100</v>
      </c>
      <c r="AF94" s="40" t="s">
        <v>70</v>
      </c>
      <c r="AG94" s="40" t="s">
        <v>70</v>
      </c>
      <c r="AH94" s="40" t="s">
        <v>102</v>
      </c>
      <c r="AI94" s="40" t="s">
        <v>70</v>
      </c>
      <c r="AJ94" s="40" t="s">
        <v>73</v>
      </c>
      <c r="AK94" s="40" t="s">
        <v>70</v>
      </c>
      <c r="AL94" s="40" t="s">
        <v>68</v>
      </c>
      <c r="AM94" s="40" t="s">
        <v>70</v>
      </c>
      <c r="AN94" s="40">
        <v>0.54205000000000003</v>
      </c>
      <c r="AO94" s="40">
        <v>0.53947999999999996</v>
      </c>
      <c r="AP94" s="40">
        <v>2.5699999999999998E-3</v>
      </c>
      <c r="AQ94" s="40" t="s">
        <v>75</v>
      </c>
      <c r="AR94" s="615">
        <v>160017</v>
      </c>
      <c r="AS94" s="612">
        <v>128</v>
      </c>
      <c r="AT94" s="612">
        <v>200</v>
      </c>
      <c r="AU94" s="623">
        <v>1000000</v>
      </c>
      <c r="AV94" s="40">
        <v>6</v>
      </c>
      <c r="AW94" s="40">
        <v>5.6</v>
      </c>
      <c r="AX94" s="40">
        <v>1.1000000000000001</v>
      </c>
      <c r="AY94" s="40">
        <v>0.34</v>
      </c>
      <c r="AZ94" s="612">
        <v>21.5</v>
      </c>
      <c r="BA94" s="612">
        <v>21.5</v>
      </c>
      <c r="BB94" s="612">
        <v>59</v>
      </c>
      <c r="BC94" s="625" t="s">
        <v>73</v>
      </c>
      <c r="BD94" s="29"/>
      <c r="BE94" s="30" t="str">
        <f t="shared" si="32"/>
        <v>AL</v>
      </c>
      <c r="BF94" s="30" t="str">
        <f t="shared" si="33"/>
        <v>HDPE</v>
      </c>
      <c r="BG94" s="30" t="str">
        <f t="shared" si="34"/>
        <v>P</v>
      </c>
      <c r="BH94" s="30" t="str">
        <f t="shared" si="35"/>
        <v>M</v>
      </c>
      <c r="BI94" s="30" t="str">
        <f t="shared" si="36"/>
        <v>S</v>
      </c>
      <c r="BJ94" s="13"/>
      <c r="BK94" s="49"/>
      <c r="BL94" s="13"/>
      <c r="BM94" s="13"/>
      <c r="BN94" s="13"/>
      <c r="BO94" s="13"/>
      <c r="BP94" s="13"/>
      <c r="BQ94" s="13"/>
      <c r="BR94" s="13"/>
      <c r="BS94" s="13"/>
      <c r="BT94" s="13"/>
      <c r="BU94" s="13"/>
    </row>
    <row r="95" spans="1:73" ht="15">
      <c r="A95" s="637" t="s">
        <v>176</v>
      </c>
      <c r="B95" s="616">
        <v>44138.510416666664</v>
      </c>
      <c r="C95" s="634"/>
      <c r="D95" s="634"/>
      <c r="E95" s="634"/>
      <c r="F95" s="619">
        <v>90</v>
      </c>
      <c r="G95" s="40" t="s">
        <v>82</v>
      </c>
      <c r="H95" s="40" t="s">
        <v>66</v>
      </c>
      <c r="I95" s="40" t="s">
        <v>87</v>
      </c>
      <c r="J95" s="40" t="s">
        <v>105</v>
      </c>
      <c r="K95" s="40">
        <v>10</v>
      </c>
      <c r="L95" s="40">
        <v>10</v>
      </c>
      <c r="M95" s="40">
        <v>1</v>
      </c>
      <c r="N95" s="612">
        <v>1.4279999999999999</v>
      </c>
      <c r="O95" s="612">
        <v>3.4159999999999999</v>
      </c>
      <c r="P95" s="40" t="s">
        <v>69</v>
      </c>
      <c r="Q95" s="612">
        <v>82.578800000000001</v>
      </c>
      <c r="R95" s="612">
        <v>76.991776000000002</v>
      </c>
      <c r="S95" s="614">
        <v>3896.5</v>
      </c>
      <c r="T95" s="627" t="s">
        <v>68</v>
      </c>
      <c r="U95" s="612">
        <v>1.75</v>
      </c>
      <c r="V95" s="612">
        <v>85.033000000000001</v>
      </c>
      <c r="W95" s="612">
        <v>0.02</v>
      </c>
      <c r="X95" s="612">
        <v>363.113</v>
      </c>
      <c r="Y95" s="612">
        <v>100</v>
      </c>
      <c r="Z95" s="40" t="s">
        <v>71</v>
      </c>
      <c r="AA95" s="612">
        <v>250</v>
      </c>
      <c r="AB95" s="40" t="s">
        <v>83</v>
      </c>
      <c r="AC95" s="40">
        <v>0</v>
      </c>
      <c r="AD95" s="40" t="s">
        <v>73</v>
      </c>
      <c r="AE95" s="40" t="s">
        <v>100</v>
      </c>
      <c r="AF95" s="40" t="s">
        <v>70</v>
      </c>
      <c r="AG95" s="40" t="s">
        <v>70</v>
      </c>
      <c r="AH95" s="40" t="s">
        <v>102</v>
      </c>
      <c r="AI95" s="40" t="s">
        <v>70</v>
      </c>
      <c r="AJ95" s="40" t="s">
        <v>73</v>
      </c>
      <c r="AK95" s="40" t="s">
        <v>70</v>
      </c>
      <c r="AL95" s="40" t="s">
        <v>68</v>
      </c>
      <c r="AM95" s="40" t="s">
        <v>70</v>
      </c>
      <c r="AN95" s="40">
        <v>0.55667999999999995</v>
      </c>
      <c r="AO95" s="40">
        <v>0.55488999999999999</v>
      </c>
      <c r="AP95" s="40">
        <v>1.7899999999999999E-3</v>
      </c>
      <c r="AQ95" s="40" t="s">
        <v>75</v>
      </c>
      <c r="AR95" s="615">
        <v>258897</v>
      </c>
      <c r="AS95" s="612">
        <v>128</v>
      </c>
      <c r="AT95" s="612">
        <v>200</v>
      </c>
      <c r="AU95" s="623">
        <v>1000000</v>
      </c>
      <c r="AV95" s="40">
        <v>6</v>
      </c>
      <c r="AW95" s="40">
        <v>5.6</v>
      </c>
      <c r="AX95" s="40">
        <v>1.1000000000000001</v>
      </c>
      <c r="AY95" s="40">
        <v>0.34</v>
      </c>
      <c r="AZ95" s="612">
        <v>21.5</v>
      </c>
      <c r="BA95" s="612">
        <v>21.5</v>
      </c>
      <c r="BB95" s="612">
        <v>37</v>
      </c>
      <c r="BC95" s="624" t="s">
        <v>76</v>
      </c>
      <c r="BD95" s="29"/>
      <c r="BE95" s="30" t="str">
        <f t="shared" si="32"/>
        <v>AL</v>
      </c>
      <c r="BF95" s="30" t="str">
        <f t="shared" si="33"/>
        <v>HDPE</v>
      </c>
      <c r="BG95" s="30" t="str">
        <f t="shared" si="34"/>
        <v>P</v>
      </c>
      <c r="BH95" s="30" t="str">
        <f t="shared" si="35"/>
        <v>M</v>
      </c>
      <c r="BI95" s="30" t="str">
        <f t="shared" si="36"/>
        <v>S</v>
      </c>
      <c r="BJ95" s="13"/>
      <c r="BK95" s="49"/>
      <c r="BL95" s="13"/>
      <c r="BM95" s="13"/>
      <c r="BN95" s="13"/>
      <c r="BO95" s="13"/>
      <c r="BP95" s="13"/>
      <c r="BQ95" s="13"/>
      <c r="BR95" s="13"/>
      <c r="BS95" s="13"/>
      <c r="BT95" s="13"/>
      <c r="BU95" s="13"/>
    </row>
    <row r="96" spans="1:73">
      <c r="A96" s="25" t="s">
        <v>177</v>
      </c>
      <c r="B96" s="48">
        <v>44148.479166666664</v>
      </c>
      <c r="C96" s="632"/>
      <c r="D96" s="632"/>
      <c r="E96" s="632"/>
      <c r="F96" s="51">
        <v>91</v>
      </c>
      <c r="G96" s="44" t="s">
        <v>82</v>
      </c>
      <c r="H96" s="37" t="s">
        <v>83</v>
      </c>
      <c r="I96" s="37" t="s">
        <v>84</v>
      </c>
      <c r="J96" s="37" t="s">
        <v>104</v>
      </c>
      <c r="K96" s="39">
        <v>12.65</v>
      </c>
      <c r="L96" s="39" t="s">
        <v>70</v>
      </c>
      <c r="M96" s="39">
        <v>1.1599999999999999</v>
      </c>
      <c r="N96" s="31">
        <v>2.8140000000000001</v>
      </c>
      <c r="O96" s="63">
        <v>2.8140000000000001</v>
      </c>
      <c r="P96" s="37" t="s">
        <v>86</v>
      </c>
      <c r="Q96" s="53">
        <v>96.338399999999993</v>
      </c>
      <c r="R96" s="53">
        <v>123.28115</v>
      </c>
      <c r="S96" s="457">
        <v>2433.5</v>
      </c>
      <c r="T96" s="626" t="s">
        <v>68</v>
      </c>
      <c r="U96" s="60">
        <v>1.75</v>
      </c>
      <c r="V96" s="60">
        <v>65.046000000000006</v>
      </c>
      <c r="W96" s="60">
        <v>0.02</v>
      </c>
      <c r="X96" s="60">
        <v>362.74400000000003</v>
      </c>
      <c r="Y96" s="31">
        <v>300</v>
      </c>
      <c r="Z96" s="37" t="s">
        <v>71</v>
      </c>
      <c r="AA96" s="31">
        <v>260</v>
      </c>
      <c r="AB96" s="39" t="s">
        <v>83</v>
      </c>
      <c r="AC96" s="41">
        <v>0</v>
      </c>
      <c r="AD96" s="41" t="s">
        <v>73</v>
      </c>
      <c r="AE96" s="41" t="s">
        <v>139</v>
      </c>
      <c r="AF96" s="40" t="s">
        <v>70</v>
      </c>
      <c r="AG96" s="40" t="s">
        <v>70</v>
      </c>
      <c r="AH96" s="41" t="s">
        <v>145</v>
      </c>
      <c r="AI96" s="40" t="s">
        <v>70</v>
      </c>
      <c r="AJ96" s="40" t="s">
        <v>73</v>
      </c>
      <c r="AK96" s="40" t="s">
        <v>70</v>
      </c>
      <c r="AL96" s="40" t="s">
        <v>68</v>
      </c>
      <c r="AM96" s="40" t="s">
        <v>70</v>
      </c>
      <c r="AN96" s="294">
        <v>0.66244000000000003</v>
      </c>
      <c r="AO96" s="294">
        <v>0.65430999999999995</v>
      </c>
      <c r="AP96" s="294">
        <v>8.1300000000000001E-3</v>
      </c>
      <c r="AQ96" s="40" t="s">
        <v>75</v>
      </c>
      <c r="AR96" s="285">
        <v>312523</v>
      </c>
      <c r="AS96" s="28">
        <v>128</v>
      </c>
      <c r="AT96" s="28">
        <v>200</v>
      </c>
      <c r="AU96" s="34">
        <v>1000000</v>
      </c>
      <c r="AV96" s="278">
        <v>6</v>
      </c>
      <c r="AW96" s="278">
        <v>5.6</v>
      </c>
      <c r="AX96" s="278">
        <v>1</v>
      </c>
      <c r="AY96" s="281">
        <v>0.31</v>
      </c>
      <c r="AZ96" s="61">
        <v>21.6</v>
      </c>
      <c r="BA96" s="271">
        <v>21.6</v>
      </c>
      <c r="BB96" s="31">
        <v>57</v>
      </c>
      <c r="BC96" s="42" t="s">
        <v>76</v>
      </c>
      <c r="BD96" s="29"/>
      <c r="BE96" s="30"/>
      <c r="BF96" s="30"/>
      <c r="BG96" s="30" t="str">
        <f t="shared" si="34"/>
        <v>P</v>
      </c>
      <c r="BH96" s="30" t="str">
        <f t="shared" si="35"/>
        <v>P</v>
      </c>
      <c r="BI96" s="30" t="str">
        <f t="shared" si="36"/>
        <v>C</v>
      </c>
      <c r="BJ96" s="13"/>
      <c r="BK96" s="49"/>
      <c r="BL96" s="13"/>
      <c r="BM96" s="13"/>
      <c r="BN96" s="13"/>
      <c r="BO96" s="13"/>
      <c r="BP96" s="13"/>
      <c r="BQ96" s="13"/>
      <c r="BR96" s="13"/>
      <c r="BS96" s="13"/>
      <c r="BT96" s="13"/>
      <c r="BU96" s="13"/>
    </row>
    <row r="97" spans="1:73">
      <c r="A97" s="25" t="s">
        <v>178</v>
      </c>
      <c r="B97" s="48">
        <v>44156.489583333336</v>
      </c>
      <c r="C97" s="632"/>
      <c r="D97" s="632"/>
      <c r="E97" s="632"/>
      <c r="F97" s="50">
        <v>92</v>
      </c>
      <c r="G97" s="44" t="s">
        <v>82</v>
      </c>
      <c r="H97" s="37" t="s">
        <v>83</v>
      </c>
      <c r="I97" s="37" t="s">
        <v>84</v>
      </c>
      <c r="J97" s="37" t="s">
        <v>104</v>
      </c>
      <c r="K97" s="39">
        <v>12.65</v>
      </c>
      <c r="L97" s="39" t="s">
        <v>70</v>
      </c>
      <c r="M97" s="39">
        <v>1.1599999999999999</v>
      </c>
      <c r="N97" s="31">
        <v>2.198</v>
      </c>
      <c r="O97" s="63">
        <v>2.198</v>
      </c>
      <c r="P97" s="37" t="s">
        <v>86</v>
      </c>
      <c r="Q97" s="53">
        <v>61.393000000000001</v>
      </c>
      <c r="R97" s="53">
        <v>112.37188399999999</v>
      </c>
      <c r="S97" s="457">
        <v>2669.7</v>
      </c>
      <c r="T97" s="626" t="s">
        <v>68</v>
      </c>
      <c r="U97" s="60">
        <v>1.7509999999999999</v>
      </c>
      <c r="V97" s="60">
        <v>65.009</v>
      </c>
      <c r="W97" s="60">
        <v>0.02</v>
      </c>
      <c r="X97" s="60">
        <v>362.75</v>
      </c>
      <c r="Y97" s="31">
        <v>305</v>
      </c>
      <c r="Z97" s="37" t="s">
        <v>71</v>
      </c>
      <c r="AA97" s="31">
        <v>251</v>
      </c>
      <c r="AB97" s="39" t="s">
        <v>70</v>
      </c>
      <c r="AC97" s="41">
        <v>0</v>
      </c>
      <c r="AD97" s="41" t="s">
        <v>73</v>
      </c>
      <c r="AE97" s="41" t="s">
        <v>70</v>
      </c>
      <c r="AF97" s="40" t="s">
        <v>70</v>
      </c>
      <c r="AG97" s="40" t="s">
        <v>70</v>
      </c>
      <c r="AH97" s="41" t="s">
        <v>68</v>
      </c>
      <c r="AI97" s="40" t="s">
        <v>70</v>
      </c>
      <c r="AJ97" s="40" t="s">
        <v>73</v>
      </c>
      <c r="AK97" s="40" t="s">
        <v>70</v>
      </c>
      <c r="AL97" s="40" t="s">
        <v>68</v>
      </c>
      <c r="AM97" s="40" t="s">
        <v>70</v>
      </c>
      <c r="AN97" s="294" t="s">
        <v>68</v>
      </c>
      <c r="AO97" s="294" t="s">
        <v>68</v>
      </c>
      <c r="AP97" s="294" t="s">
        <v>68</v>
      </c>
      <c r="AQ97" s="40" t="s">
        <v>75</v>
      </c>
      <c r="AR97" s="285">
        <v>254970</v>
      </c>
      <c r="AS97" s="28">
        <v>128</v>
      </c>
      <c r="AT97" s="28">
        <v>200</v>
      </c>
      <c r="AU97" s="34">
        <v>1000000</v>
      </c>
      <c r="AV97" s="278">
        <v>0</v>
      </c>
      <c r="AW97" s="278">
        <v>1.2</v>
      </c>
      <c r="AX97" s="278">
        <v>0.6</v>
      </c>
      <c r="AY97" s="281">
        <v>0.7</v>
      </c>
      <c r="AZ97" s="61">
        <v>21.5</v>
      </c>
      <c r="BA97" s="271">
        <v>21.5</v>
      </c>
      <c r="BB97" s="31">
        <v>60</v>
      </c>
      <c r="BC97" s="42" t="s">
        <v>76</v>
      </c>
      <c r="BD97" s="29"/>
      <c r="BE97" s="30"/>
      <c r="BF97" s="30"/>
      <c r="BG97" s="30" t="str">
        <f t="shared" si="34"/>
        <v>N</v>
      </c>
      <c r="BH97" s="30" t="str">
        <f t="shared" si="35"/>
        <v>P</v>
      </c>
      <c r="BI97" s="30" t="str">
        <f t="shared" si="36"/>
        <v>C</v>
      </c>
      <c r="BJ97" s="13"/>
      <c r="BK97" s="49"/>
      <c r="BL97" s="13"/>
      <c r="BM97" s="13"/>
      <c r="BN97" s="13"/>
      <c r="BO97" s="13"/>
      <c r="BP97" s="13"/>
      <c r="BQ97" s="13"/>
      <c r="BR97" s="13"/>
      <c r="BS97" s="13"/>
      <c r="BT97" s="13"/>
      <c r="BU97" s="13"/>
    </row>
    <row r="98" spans="1:73" ht="15">
      <c r="A98" s="635" t="s">
        <v>179</v>
      </c>
      <c r="B98" s="48">
        <v>44158.625</v>
      </c>
      <c r="C98" s="632"/>
      <c r="D98" s="632"/>
      <c r="E98" s="632"/>
      <c r="F98" s="50">
        <v>93</v>
      </c>
      <c r="G98" s="44" t="s">
        <v>82</v>
      </c>
      <c r="H98" s="37" t="s">
        <v>66</v>
      </c>
      <c r="I98" s="37" t="s">
        <v>87</v>
      </c>
      <c r="J98" s="37" t="s">
        <v>105</v>
      </c>
      <c r="K98" s="39">
        <v>10</v>
      </c>
      <c r="L98" s="39">
        <v>10</v>
      </c>
      <c r="M98" s="39">
        <v>1</v>
      </c>
      <c r="N98" s="31">
        <v>1.415</v>
      </c>
      <c r="O98" s="63">
        <v>3.4089999999999998</v>
      </c>
      <c r="P98" s="37" t="s">
        <v>69</v>
      </c>
      <c r="Q98" s="53">
        <v>85.601500000000001</v>
      </c>
      <c r="R98" s="53">
        <v>123.20823799999999</v>
      </c>
      <c r="S98" s="457">
        <v>2434.9</v>
      </c>
      <c r="T98" s="626" t="s">
        <v>68</v>
      </c>
      <c r="U98" s="60">
        <v>1.7509999999999999</v>
      </c>
      <c r="V98" s="60">
        <v>65</v>
      </c>
      <c r="W98" s="60">
        <v>0.02</v>
      </c>
      <c r="X98" s="60">
        <v>362.66800000000001</v>
      </c>
      <c r="Y98" s="31">
        <v>299</v>
      </c>
      <c r="Z98" s="37" t="s">
        <v>71</v>
      </c>
      <c r="AA98" s="31">
        <v>249</v>
      </c>
      <c r="AB98" s="39" t="s">
        <v>83</v>
      </c>
      <c r="AC98" s="41">
        <v>0</v>
      </c>
      <c r="AD98" s="41" t="s">
        <v>73</v>
      </c>
      <c r="AE98" s="41" t="s">
        <v>108</v>
      </c>
      <c r="AF98" s="40" t="s">
        <v>70</v>
      </c>
      <c r="AG98" s="40" t="s">
        <v>70</v>
      </c>
      <c r="AH98" s="41" t="s">
        <v>109</v>
      </c>
      <c r="AI98" s="40" t="s">
        <v>70</v>
      </c>
      <c r="AJ98" s="40" t="s">
        <v>73</v>
      </c>
      <c r="AK98" s="40" t="s">
        <v>70</v>
      </c>
      <c r="AL98" s="40" t="s">
        <v>68</v>
      </c>
      <c r="AM98" s="40" t="s">
        <v>70</v>
      </c>
      <c r="AN98" s="294">
        <v>0.57793000000000005</v>
      </c>
      <c r="AO98" s="294">
        <v>0.57633000000000001</v>
      </c>
      <c r="AP98" s="294">
        <v>1.6000000000000001E-3</v>
      </c>
      <c r="AQ98" s="40" t="s">
        <v>75</v>
      </c>
      <c r="AR98" s="285">
        <v>467364</v>
      </c>
      <c r="AS98" s="28">
        <v>128</v>
      </c>
      <c r="AT98" s="28">
        <v>200</v>
      </c>
      <c r="AU98" s="34">
        <v>1000000</v>
      </c>
      <c r="AV98" s="278">
        <v>0</v>
      </c>
      <c r="AW98" s="278">
        <v>1.2</v>
      </c>
      <c r="AX98" s="278">
        <v>0.6</v>
      </c>
      <c r="AY98" s="281">
        <v>0.67</v>
      </c>
      <c r="AZ98" s="61">
        <v>21.5</v>
      </c>
      <c r="BA98" s="271">
        <v>21.5</v>
      </c>
      <c r="BB98" s="31">
        <v>54</v>
      </c>
      <c r="BC98" s="42" t="s">
        <v>76</v>
      </c>
      <c r="BD98" s="29"/>
      <c r="BE98" s="30"/>
      <c r="BF98" s="30"/>
      <c r="BG98" s="30" t="str">
        <f t="shared" si="34"/>
        <v>P</v>
      </c>
      <c r="BH98" s="30" t="str">
        <f t="shared" si="35"/>
        <v>M</v>
      </c>
      <c r="BI98" s="30" t="str">
        <f t="shared" si="36"/>
        <v>S</v>
      </c>
      <c r="BJ98" s="13"/>
      <c r="BK98" s="49"/>
      <c r="BL98" s="13"/>
      <c r="BM98" s="13"/>
      <c r="BN98" s="13"/>
      <c r="BO98" s="13"/>
      <c r="BP98" s="13"/>
      <c r="BQ98" s="13"/>
      <c r="BR98" s="13"/>
      <c r="BS98" s="13"/>
      <c r="BT98" s="13"/>
      <c r="BU98" s="13"/>
    </row>
    <row r="99" spans="1:73" ht="15">
      <c r="A99" s="635" t="s">
        <v>180</v>
      </c>
      <c r="B99" s="48">
        <v>44175.489583333336</v>
      </c>
      <c r="C99" s="632"/>
      <c r="D99" s="632"/>
      <c r="E99" s="632"/>
      <c r="F99" s="51">
        <v>94</v>
      </c>
      <c r="G99" s="44" t="s">
        <v>158</v>
      </c>
      <c r="H99" s="37" t="s">
        <v>83</v>
      </c>
      <c r="I99" s="37" t="s">
        <v>148</v>
      </c>
      <c r="J99" s="37" t="s">
        <v>149</v>
      </c>
      <c r="K99" s="39">
        <v>4</v>
      </c>
      <c r="L99" s="39">
        <v>4</v>
      </c>
      <c r="M99" s="39">
        <v>1</v>
      </c>
      <c r="N99" s="31"/>
      <c r="O99" s="63"/>
      <c r="P99" s="37" t="s">
        <v>69</v>
      </c>
      <c r="Q99" s="53" t="s">
        <v>181</v>
      </c>
      <c r="R99" s="53" t="s">
        <v>181</v>
      </c>
      <c r="S99" s="53" t="s">
        <v>181</v>
      </c>
      <c r="T99" s="628" t="s">
        <v>181</v>
      </c>
      <c r="U99" s="60">
        <v>1.75</v>
      </c>
      <c r="V99" s="60">
        <v>63.017000000000003</v>
      </c>
      <c r="W99" s="60">
        <v>0.02</v>
      </c>
      <c r="X99" s="60">
        <v>362.8</v>
      </c>
      <c r="Y99" s="31">
        <v>199</v>
      </c>
      <c r="Z99" s="37" t="s">
        <v>71</v>
      </c>
      <c r="AA99" s="31">
        <v>249</v>
      </c>
      <c r="AB99" s="39" t="s">
        <v>72</v>
      </c>
      <c r="AC99" s="41">
        <v>45</v>
      </c>
      <c r="AD99" s="41" t="s">
        <v>73</v>
      </c>
      <c r="AE99" s="41" t="s">
        <v>159</v>
      </c>
      <c r="AF99" s="40" t="s">
        <v>70</v>
      </c>
      <c r="AG99" s="40" t="s">
        <v>70</v>
      </c>
      <c r="AH99" s="41"/>
      <c r="AI99" s="40" t="s">
        <v>70</v>
      </c>
      <c r="AJ99" s="40" t="s">
        <v>73</v>
      </c>
      <c r="AK99" s="40" t="s">
        <v>70</v>
      </c>
      <c r="AL99" s="40" t="s">
        <v>68</v>
      </c>
      <c r="AM99" s="40" t="s">
        <v>70</v>
      </c>
      <c r="AN99" s="294" t="s">
        <v>181</v>
      </c>
      <c r="AO99" s="294" t="s">
        <v>181</v>
      </c>
      <c r="AP99" s="294" t="s">
        <v>181</v>
      </c>
      <c r="AQ99" s="40" t="s">
        <v>75</v>
      </c>
      <c r="AR99" s="285">
        <v>428212</v>
      </c>
      <c r="AS99" s="28">
        <v>128</v>
      </c>
      <c r="AT99" s="28">
        <v>200</v>
      </c>
      <c r="AU99" s="34">
        <v>1000000</v>
      </c>
      <c r="AV99" s="278">
        <v>6</v>
      </c>
      <c r="AW99" s="278">
        <v>5.6</v>
      </c>
      <c r="AX99" s="278">
        <v>1.1000000000000001</v>
      </c>
      <c r="AY99" s="281">
        <v>0.34</v>
      </c>
      <c r="AZ99" s="61">
        <v>21.1</v>
      </c>
      <c r="BA99" s="271">
        <v>21.1</v>
      </c>
      <c r="BB99" s="31">
        <v>44</v>
      </c>
      <c r="BC99" s="42" t="s">
        <v>76</v>
      </c>
      <c r="BD99" s="29"/>
      <c r="BE99" s="30"/>
      <c r="BF99" s="30"/>
      <c r="BG99" s="30" t="str">
        <f t="shared" si="34"/>
        <v>C</v>
      </c>
      <c r="BH99" s="30" t="str">
        <f t="shared" si="35"/>
        <v>P</v>
      </c>
      <c r="BI99" s="30" t="str">
        <f t="shared" si="36"/>
        <v>S</v>
      </c>
      <c r="BJ99" s="13"/>
      <c r="BK99" s="49"/>
      <c r="BL99" s="13"/>
      <c r="BM99" s="13"/>
      <c r="BN99" s="13"/>
      <c r="BO99" s="13"/>
      <c r="BP99" s="13"/>
      <c r="BQ99" s="13"/>
      <c r="BR99" s="13"/>
      <c r="BS99" s="13"/>
      <c r="BT99" s="13"/>
      <c r="BU99" s="13"/>
    </row>
    <row r="100" spans="1:73">
      <c r="A100" s="25" t="s">
        <v>182</v>
      </c>
      <c r="B100" s="48">
        <v>44195.590277777781</v>
      </c>
      <c r="C100" s="632"/>
      <c r="D100" s="632"/>
      <c r="E100" s="632"/>
      <c r="F100" s="50">
        <v>95</v>
      </c>
      <c r="G100" s="44" t="s">
        <v>82</v>
      </c>
      <c r="H100" s="37" t="s">
        <v>66</v>
      </c>
      <c r="I100" s="37" t="s">
        <v>87</v>
      </c>
      <c r="J100" s="37" t="s">
        <v>105</v>
      </c>
      <c r="K100" s="39">
        <v>10</v>
      </c>
      <c r="L100" s="39">
        <v>10</v>
      </c>
      <c r="M100" s="39">
        <v>1</v>
      </c>
      <c r="N100" s="31">
        <v>1.409</v>
      </c>
      <c r="O100" s="63">
        <v>3.403</v>
      </c>
      <c r="P100" s="37" t="s">
        <v>69</v>
      </c>
      <c r="Q100" s="53">
        <v>70.092500000000001</v>
      </c>
      <c r="R100" s="53">
        <v>125.146702</v>
      </c>
      <c r="S100" s="457">
        <v>2397.1999999999998</v>
      </c>
      <c r="T100" s="626" t="s">
        <v>68</v>
      </c>
      <c r="U100" s="60">
        <v>1.7509999999999999</v>
      </c>
      <c r="V100" s="60">
        <v>60.826000000000001</v>
      </c>
      <c r="W100" s="60">
        <v>0.02</v>
      </c>
      <c r="X100" s="60">
        <v>362.851</v>
      </c>
      <c r="Y100" s="31">
        <v>193</v>
      </c>
      <c r="Z100" s="37" t="s">
        <v>71</v>
      </c>
      <c r="AA100" s="31">
        <v>251</v>
      </c>
      <c r="AB100" s="39" t="s">
        <v>83</v>
      </c>
      <c r="AC100" s="41">
        <v>0</v>
      </c>
      <c r="AD100" s="41" t="s">
        <v>73</v>
      </c>
      <c r="AE100" s="41" t="s">
        <v>100</v>
      </c>
      <c r="AF100" s="40" t="s">
        <v>70</v>
      </c>
      <c r="AG100" s="40" t="s">
        <v>70</v>
      </c>
      <c r="AH100" s="41" t="s">
        <v>102</v>
      </c>
      <c r="AI100" s="40" t="s">
        <v>70</v>
      </c>
      <c r="AJ100" s="40" t="s">
        <v>73</v>
      </c>
      <c r="AK100" s="40" t="s">
        <v>70</v>
      </c>
      <c r="AL100" s="40" t="s">
        <v>68</v>
      </c>
      <c r="AM100" s="40" t="s">
        <v>70</v>
      </c>
      <c r="AN100" s="294">
        <v>0.54944000000000004</v>
      </c>
      <c r="AO100" s="294">
        <v>0.5484</v>
      </c>
      <c r="AP100" s="294">
        <v>1.0399999999999999E-3</v>
      </c>
      <c r="AQ100" s="40" t="s">
        <v>75</v>
      </c>
      <c r="AR100" s="285">
        <v>420789</v>
      </c>
      <c r="AS100" s="28">
        <v>128</v>
      </c>
      <c r="AT100" s="28">
        <v>200</v>
      </c>
      <c r="AU100" s="34">
        <v>1000000</v>
      </c>
      <c r="AV100" s="278">
        <v>6</v>
      </c>
      <c r="AW100" s="278">
        <v>5.6</v>
      </c>
      <c r="AX100" s="278">
        <v>1.1000000000000001</v>
      </c>
      <c r="AY100" s="281">
        <v>0.34</v>
      </c>
      <c r="AZ100" s="61">
        <v>21.5</v>
      </c>
      <c r="BA100" s="271">
        <v>21.5</v>
      </c>
      <c r="BB100" s="31">
        <v>58</v>
      </c>
      <c r="BC100" s="42" t="s">
        <v>76</v>
      </c>
      <c r="BD100" s="29"/>
      <c r="BE100" s="30"/>
      <c r="BF100" s="30"/>
      <c r="BG100" s="30"/>
      <c r="BH100" s="30"/>
      <c r="BI100" s="30"/>
      <c r="BJ100" s="13"/>
      <c r="BK100" s="49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</row>
    <row r="101" spans="1:73">
      <c r="A101" s="25" t="s">
        <v>183</v>
      </c>
      <c r="B101" s="48">
        <v>44200.618055555555</v>
      </c>
      <c r="C101" s="632"/>
      <c r="D101" s="632"/>
      <c r="E101" s="632"/>
      <c r="F101" s="50">
        <v>96</v>
      </c>
      <c r="G101" s="44" t="s">
        <v>82</v>
      </c>
      <c r="H101" s="37" t="s">
        <v>66</v>
      </c>
      <c r="I101" s="37" t="s">
        <v>87</v>
      </c>
      <c r="J101" s="37" t="s">
        <v>105</v>
      </c>
      <c r="K101" s="39">
        <v>10</v>
      </c>
      <c r="L101" s="39">
        <v>10</v>
      </c>
      <c r="M101" s="39">
        <v>1</v>
      </c>
      <c r="N101" s="31">
        <v>1.415</v>
      </c>
      <c r="O101" s="63">
        <v>3.4009999999999998</v>
      </c>
      <c r="P101" s="37" t="s">
        <v>69</v>
      </c>
      <c r="Q101" s="53">
        <v>88.634600000000006</v>
      </c>
      <c r="R101" s="53">
        <v>152.569582</v>
      </c>
      <c r="S101" s="457">
        <v>1966.3</v>
      </c>
      <c r="T101" s="537" t="s">
        <v>68</v>
      </c>
      <c r="U101" s="60">
        <v>1.768</v>
      </c>
      <c r="V101" s="60">
        <v>59.968000000000004</v>
      </c>
      <c r="W101" s="60">
        <v>0.02</v>
      </c>
      <c r="X101" s="60">
        <v>363.084</v>
      </c>
      <c r="Y101" s="31">
        <v>215</v>
      </c>
      <c r="Z101" s="37" t="s">
        <v>71</v>
      </c>
      <c r="AA101" s="31">
        <v>255</v>
      </c>
      <c r="AB101" s="39" t="s">
        <v>83</v>
      </c>
      <c r="AC101" s="41">
        <v>0</v>
      </c>
      <c r="AD101" s="41" t="s">
        <v>73</v>
      </c>
      <c r="AE101" s="41" t="s">
        <v>100</v>
      </c>
      <c r="AF101" s="40" t="s">
        <v>70</v>
      </c>
      <c r="AG101" s="40" t="s">
        <v>70</v>
      </c>
      <c r="AH101" s="41" t="s">
        <v>102</v>
      </c>
      <c r="AI101" s="40" t="s">
        <v>70</v>
      </c>
      <c r="AJ101" s="40" t="s">
        <v>73</v>
      </c>
      <c r="AK101" s="40" t="s">
        <v>70</v>
      </c>
      <c r="AL101" s="40" t="s">
        <v>68</v>
      </c>
      <c r="AM101" s="40" t="s">
        <v>70</v>
      </c>
      <c r="AN101" s="294">
        <v>0.54235999999999995</v>
      </c>
      <c r="AO101" s="294">
        <v>0.54142999999999997</v>
      </c>
      <c r="AP101" s="294">
        <v>9.3000000000000005E-4</v>
      </c>
      <c r="AQ101" s="40" t="s">
        <v>75</v>
      </c>
      <c r="AR101" s="285">
        <v>513064</v>
      </c>
      <c r="AS101" s="28">
        <v>128</v>
      </c>
      <c r="AT101" s="28">
        <v>200</v>
      </c>
      <c r="AU101" s="34">
        <v>1000000</v>
      </c>
      <c r="AV101" s="278">
        <v>6</v>
      </c>
      <c r="AW101" s="278">
        <v>5.6</v>
      </c>
      <c r="AX101" s="278">
        <v>1.1000000000000001</v>
      </c>
      <c r="AY101" s="281">
        <v>0.34</v>
      </c>
      <c r="AZ101" s="61">
        <v>20.3</v>
      </c>
      <c r="BA101" s="271">
        <v>20.3</v>
      </c>
      <c r="BB101" s="31">
        <v>46</v>
      </c>
      <c r="BC101" s="42" t="s">
        <v>76</v>
      </c>
      <c r="BD101" s="29"/>
      <c r="BE101" s="30" t="str">
        <f t="shared" si="32"/>
        <v>AL</v>
      </c>
      <c r="BF101" s="30" t="str">
        <f t="shared" si="33"/>
        <v>HDPE</v>
      </c>
      <c r="BG101" s="30" t="str">
        <f t="shared" si="34"/>
        <v>P</v>
      </c>
      <c r="BH101" s="30" t="str">
        <f t="shared" si="35"/>
        <v>M</v>
      </c>
      <c r="BI101" s="30" t="str">
        <f t="shared" si="36"/>
        <v>S</v>
      </c>
      <c r="BJ101" s="13"/>
      <c r="BK101" s="49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</row>
    <row r="102" spans="1:73">
      <c r="A102" s="25" t="s">
        <v>184</v>
      </c>
      <c r="B102" s="48">
        <v>44204</v>
      </c>
      <c r="C102" s="632"/>
      <c r="D102" s="632"/>
      <c r="E102" s="632"/>
      <c r="F102" s="51">
        <v>97</v>
      </c>
      <c r="G102" s="44" t="s">
        <v>129</v>
      </c>
      <c r="H102" s="37" t="s">
        <v>66</v>
      </c>
      <c r="I102" s="37" t="s">
        <v>130</v>
      </c>
      <c r="J102" s="37" t="s">
        <v>131</v>
      </c>
      <c r="K102" s="39">
        <v>10</v>
      </c>
      <c r="L102" s="39">
        <v>10</v>
      </c>
      <c r="M102" s="39">
        <v>1</v>
      </c>
      <c r="N102" s="31">
        <v>4.0640000000000001</v>
      </c>
      <c r="O102" s="63">
        <v>6.01</v>
      </c>
      <c r="P102" s="37" t="s">
        <v>69</v>
      </c>
      <c r="Q102" s="53">
        <v>63.179900000000004</v>
      </c>
      <c r="R102" s="53">
        <v>114.86995400000001</v>
      </c>
      <c r="S102" s="457">
        <v>2611.6</v>
      </c>
      <c r="T102" s="537" t="s">
        <v>68</v>
      </c>
      <c r="U102" s="60">
        <v>1.746</v>
      </c>
      <c r="V102" s="60">
        <v>69.995000000000005</v>
      </c>
      <c r="W102" s="60">
        <v>0.02</v>
      </c>
      <c r="X102" s="60">
        <v>364.57900000000001</v>
      </c>
      <c r="Y102" s="31">
        <v>196</v>
      </c>
      <c r="Z102" s="37" t="s">
        <v>71</v>
      </c>
      <c r="AA102" s="31">
        <v>256</v>
      </c>
      <c r="AB102" s="39" t="s">
        <v>132</v>
      </c>
      <c r="AC102" s="41">
        <v>0</v>
      </c>
      <c r="AD102" s="41" t="s">
        <v>73</v>
      </c>
      <c r="AE102" s="41" t="s">
        <v>133</v>
      </c>
      <c r="AF102" s="40" t="s">
        <v>70</v>
      </c>
      <c r="AG102" s="40" t="s">
        <v>70</v>
      </c>
      <c r="AH102" s="41" t="s">
        <v>155</v>
      </c>
      <c r="AI102" s="40" t="s">
        <v>70</v>
      </c>
      <c r="AJ102" s="40" t="s">
        <v>73</v>
      </c>
      <c r="AK102" s="40" t="s">
        <v>70</v>
      </c>
      <c r="AL102" s="40" t="s">
        <v>68</v>
      </c>
      <c r="AM102" s="40" t="s">
        <v>70</v>
      </c>
      <c r="AN102" s="294">
        <v>8.5340000000000007</v>
      </c>
      <c r="AO102" s="294" t="s">
        <v>68</v>
      </c>
      <c r="AP102" s="294" t="s">
        <v>68</v>
      </c>
      <c r="AQ102" s="40" t="s">
        <v>75</v>
      </c>
      <c r="AR102" s="285">
        <v>369240</v>
      </c>
      <c r="AS102" s="28">
        <v>256</v>
      </c>
      <c r="AT102" s="28">
        <v>200</v>
      </c>
      <c r="AU102" s="34">
        <v>1000000</v>
      </c>
      <c r="AV102" s="278">
        <v>6</v>
      </c>
      <c r="AW102" s="278">
        <v>5.6</v>
      </c>
      <c r="AX102" s="278">
        <v>1.1000000000000001</v>
      </c>
      <c r="AY102" s="281">
        <v>0.34</v>
      </c>
      <c r="AZ102" s="61">
        <v>20.8</v>
      </c>
      <c r="BA102" s="271">
        <v>20.8</v>
      </c>
      <c r="BB102" s="31">
        <v>35</v>
      </c>
      <c r="BC102" s="42" t="s">
        <v>76</v>
      </c>
      <c r="BD102" s="29"/>
      <c r="BE102" s="30" t="str">
        <f t="shared" si="32"/>
        <v>S2</v>
      </c>
      <c r="BF102" s="30" t="str">
        <f t="shared" si="33"/>
        <v>HPC</v>
      </c>
      <c r="BG102" s="30" t="str">
        <f t="shared" si="34"/>
        <v>C</v>
      </c>
      <c r="BH102" s="30" t="str">
        <f t="shared" si="35"/>
        <v>M</v>
      </c>
      <c r="BI102" s="30" t="str">
        <f t="shared" si="36"/>
        <v>S</v>
      </c>
      <c r="BJ102" s="13"/>
      <c r="BK102" s="49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</row>
    <row r="103" spans="1:73">
      <c r="A103" s="25" t="str">
        <f t="shared" si="37"/>
        <v/>
      </c>
      <c r="B103" s="48"/>
      <c r="C103" s="632"/>
      <c r="D103" s="632"/>
      <c r="E103" s="632"/>
      <c r="F103" s="50">
        <v>98</v>
      </c>
      <c r="G103" s="44"/>
      <c r="H103" s="37"/>
      <c r="I103" s="37"/>
      <c r="J103" s="37"/>
      <c r="K103" s="39"/>
      <c r="L103" s="39"/>
      <c r="M103" s="39"/>
      <c r="N103" s="31"/>
      <c r="O103" s="63"/>
      <c r="P103" s="37"/>
      <c r="Q103" s="53"/>
      <c r="R103" s="53"/>
      <c r="S103" s="457" t="str">
        <f t="shared" si="42"/>
        <v/>
      </c>
      <c r="T103" s="537"/>
      <c r="U103" s="60"/>
      <c r="V103" s="60"/>
      <c r="W103" s="60"/>
      <c r="X103" s="60"/>
      <c r="Y103" s="31"/>
      <c r="Z103" s="37"/>
      <c r="AA103" s="31"/>
      <c r="AB103" s="39"/>
      <c r="AC103" s="41"/>
      <c r="AD103" s="41"/>
      <c r="AE103" s="41"/>
      <c r="AF103" s="40" t="str">
        <f t="shared" si="29"/>
        <v xml:space="preserve"> </v>
      </c>
      <c r="AG103" s="40" t="str">
        <f t="shared" si="29"/>
        <v xml:space="preserve"> </v>
      </c>
      <c r="AH103" s="41"/>
      <c r="AI103" s="40" t="str">
        <f t="shared" si="30"/>
        <v/>
      </c>
      <c r="AJ103" s="40"/>
      <c r="AK103" s="40" t="str">
        <f t="shared" si="41"/>
        <v xml:space="preserve"> </v>
      </c>
      <c r="AL103" s="40"/>
      <c r="AM103" s="40" t="str">
        <f t="shared" si="41"/>
        <v xml:space="preserve"> </v>
      </c>
      <c r="AN103" s="294"/>
      <c r="AO103" s="294"/>
      <c r="AP103" s="294"/>
      <c r="AQ103" s="40"/>
      <c r="AR103" s="285"/>
      <c r="AS103" s="28"/>
      <c r="AT103" s="28"/>
      <c r="AU103" s="34"/>
      <c r="AV103" s="278"/>
      <c r="AW103" s="278"/>
      <c r="AX103" s="278"/>
      <c r="AY103" s="281"/>
      <c r="AZ103" s="61"/>
      <c r="BA103" s="271"/>
      <c r="BB103" s="31"/>
      <c r="BC103" s="42"/>
      <c r="BD103" s="29"/>
      <c r="BE103" s="30" t="str">
        <f t="shared" si="32"/>
        <v/>
      </c>
      <c r="BF103" s="30" t="str">
        <f t="shared" si="33"/>
        <v/>
      </c>
      <c r="BG103" s="30" t="str">
        <f t="shared" si="34"/>
        <v/>
      </c>
      <c r="BH103" s="30" t="str">
        <f t="shared" si="35"/>
        <v/>
      </c>
      <c r="BI103" s="30" t="str">
        <f t="shared" si="36"/>
        <v/>
      </c>
      <c r="BJ103" s="13"/>
      <c r="BK103" s="49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</row>
    <row r="104" spans="1:73">
      <c r="A104" s="25" t="str">
        <f t="shared" si="37"/>
        <v/>
      </c>
      <c r="B104" s="48"/>
      <c r="C104" s="632"/>
      <c r="D104" s="632"/>
      <c r="E104" s="632"/>
      <c r="F104" s="50">
        <v>99</v>
      </c>
      <c r="G104" s="44"/>
      <c r="H104" s="37"/>
      <c r="I104" s="37"/>
      <c r="J104" s="37"/>
      <c r="K104" s="39"/>
      <c r="L104" s="39"/>
      <c r="M104" s="39"/>
      <c r="N104" s="31"/>
      <c r="O104" s="63"/>
      <c r="P104" s="37"/>
      <c r="Q104" s="53"/>
      <c r="R104" s="53"/>
      <c r="S104" s="457" t="str">
        <f t="shared" si="42"/>
        <v/>
      </c>
      <c r="T104" s="537"/>
      <c r="U104" s="60"/>
      <c r="V104" s="60"/>
      <c r="W104" s="60"/>
      <c r="X104" s="60"/>
      <c r="Y104" s="31"/>
      <c r="Z104" s="37"/>
      <c r="AA104" s="31"/>
      <c r="AB104" s="39"/>
      <c r="AC104" s="41"/>
      <c r="AD104" s="41"/>
      <c r="AE104" s="41"/>
      <c r="AF104" s="40" t="str">
        <f t="shared" si="29"/>
        <v xml:space="preserve"> </v>
      </c>
      <c r="AG104" s="40" t="str">
        <f t="shared" si="29"/>
        <v xml:space="preserve"> </v>
      </c>
      <c r="AH104" s="41"/>
      <c r="AI104" s="40" t="str">
        <f t="shared" si="30"/>
        <v/>
      </c>
      <c r="AJ104" s="40"/>
      <c r="AK104" s="40" t="str">
        <f t="shared" si="41"/>
        <v xml:space="preserve"> </v>
      </c>
      <c r="AL104" s="40"/>
      <c r="AM104" s="40" t="str">
        <f t="shared" si="41"/>
        <v xml:space="preserve"> </v>
      </c>
      <c r="AN104" s="294"/>
      <c r="AO104" s="294"/>
      <c r="AP104" s="294"/>
      <c r="AQ104" s="40"/>
      <c r="AR104" s="285"/>
      <c r="AS104" s="28"/>
      <c r="AT104" s="28"/>
      <c r="AU104" s="34"/>
      <c r="AV104" s="278"/>
      <c r="AW104" s="278"/>
      <c r="AX104" s="278"/>
      <c r="AY104" s="281"/>
      <c r="AZ104" s="61"/>
      <c r="BA104" s="271"/>
      <c r="BB104" s="31"/>
      <c r="BC104" s="42"/>
      <c r="BD104" s="29"/>
      <c r="BE104" s="30" t="str">
        <f t="shared" si="32"/>
        <v/>
      </c>
      <c r="BF104" s="30" t="str">
        <f t="shared" si="33"/>
        <v/>
      </c>
      <c r="BG104" s="30" t="str">
        <f t="shared" si="34"/>
        <v/>
      </c>
      <c r="BH104" s="30" t="str">
        <f t="shared" si="35"/>
        <v/>
      </c>
      <c r="BI104" s="30" t="str">
        <f t="shared" si="36"/>
        <v/>
      </c>
      <c r="BJ104" s="13"/>
      <c r="BK104" s="49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</row>
    <row r="105" spans="1:73">
      <c r="A105" s="25" t="str">
        <f t="shared" si="37"/>
        <v/>
      </c>
      <c r="B105" s="48"/>
      <c r="C105" s="632"/>
      <c r="D105" s="632"/>
      <c r="E105" s="632"/>
      <c r="F105" s="51">
        <v>100</v>
      </c>
      <c r="G105" s="44"/>
      <c r="H105" s="37"/>
      <c r="I105" s="37"/>
      <c r="J105" s="37"/>
      <c r="K105" s="39"/>
      <c r="L105" s="39"/>
      <c r="M105" s="39"/>
      <c r="N105" s="31"/>
      <c r="O105" s="63"/>
      <c r="P105" s="37"/>
      <c r="Q105" s="53"/>
      <c r="R105" s="53"/>
      <c r="S105" s="457" t="str">
        <f t="shared" si="42"/>
        <v/>
      </c>
      <c r="T105" s="537"/>
      <c r="U105" s="60"/>
      <c r="V105" s="60"/>
      <c r="W105" s="60"/>
      <c r="X105" s="60"/>
      <c r="Y105" s="31"/>
      <c r="Z105" s="37"/>
      <c r="AA105" s="31"/>
      <c r="AB105" s="39"/>
      <c r="AC105" s="41"/>
      <c r="AD105" s="41"/>
      <c r="AE105" s="41"/>
      <c r="AF105" s="40" t="str">
        <f t="shared" si="29"/>
        <v xml:space="preserve"> </v>
      </c>
      <c r="AG105" s="40" t="str">
        <f t="shared" si="29"/>
        <v xml:space="preserve"> </v>
      </c>
      <c r="AH105" s="41"/>
      <c r="AI105" s="40" t="str">
        <f t="shared" si="30"/>
        <v/>
      </c>
      <c r="AJ105" s="40"/>
      <c r="AK105" s="40" t="str">
        <f t="shared" si="41"/>
        <v xml:space="preserve"> </v>
      </c>
      <c r="AL105" s="40"/>
      <c r="AM105" s="40" t="str">
        <f t="shared" si="41"/>
        <v xml:space="preserve"> </v>
      </c>
      <c r="AN105" s="294"/>
      <c r="AO105" s="294"/>
      <c r="AP105" s="294"/>
      <c r="AQ105" s="40"/>
      <c r="AR105" s="285"/>
      <c r="AS105" s="28"/>
      <c r="AT105" s="28"/>
      <c r="AU105" s="34"/>
      <c r="AV105" s="278"/>
      <c r="AW105" s="278"/>
      <c r="AX105" s="278"/>
      <c r="AY105" s="281"/>
      <c r="AZ105" s="61"/>
      <c r="BA105" s="271"/>
      <c r="BB105" s="31"/>
      <c r="BC105" s="42"/>
      <c r="BD105" s="29"/>
      <c r="BE105" s="30" t="str">
        <f t="shared" si="32"/>
        <v/>
      </c>
      <c r="BF105" s="30" t="str">
        <f t="shared" si="33"/>
        <v/>
      </c>
      <c r="BG105" s="30" t="str">
        <f t="shared" si="34"/>
        <v/>
      </c>
      <c r="BH105" s="30" t="str">
        <f t="shared" si="35"/>
        <v/>
      </c>
      <c r="BI105" s="30" t="str">
        <f t="shared" si="36"/>
        <v/>
      </c>
      <c r="BJ105" s="13"/>
      <c r="BK105" s="49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</row>
    <row r="106" spans="1:73">
      <c r="A106" s="25" t="str">
        <f t="shared" si="37"/>
        <v/>
      </c>
      <c r="B106" s="48"/>
      <c r="C106" s="632"/>
      <c r="D106" s="632"/>
      <c r="E106" s="632"/>
      <c r="F106" s="50">
        <v>101</v>
      </c>
      <c r="G106" s="44"/>
      <c r="H106" s="37"/>
      <c r="I106" s="37"/>
      <c r="J106" s="37"/>
      <c r="K106" s="39"/>
      <c r="L106" s="39"/>
      <c r="M106" s="39"/>
      <c r="N106" s="31"/>
      <c r="O106" s="63"/>
      <c r="P106" s="37"/>
      <c r="Q106" s="53"/>
      <c r="R106" s="53"/>
      <c r="S106" s="457" t="str">
        <f t="shared" si="42"/>
        <v/>
      </c>
      <c r="T106" s="537"/>
      <c r="U106" s="60"/>
      <c r="V106" s="60"/>
      <c r="W106" s="60"/>
      <c r="X106" s="60"/>
      <c r="Y106" s="31"/>
      <c r="Z106" s="37"/>
      <c r="AA106" s="31"/>
      <c r="AB106" s="39"/>
      <c r="AC106" s="41"/>
      <c r="AD106" s="41"/>
      <c r="AE106" s="41"/>
      <c r="AF106" s="40" t="str">
        <f t="shared" si="29"/>
        <v xml:space="preserve"> </v>
      </c>
      <c r="AG106" s="40" t="str">
        <f t="shared" si="29"/>
        <v xml:space="preserve"> </v>
      </c>
      <c r="AH106" s="41"/>
      <c r="AI106" s="40" t="str">
        <f t="shared" si="30"/>
        <v/>
      </c>
      <c r="AJ106" s="40"/>
      <c r="AK106" s="40" t="str">
        <f t="shared" si="41"/>
        <v xml:space="preserve"> </v>
      </c>
      <c r="AL106" s="40"/>
      <c r="AM106" s="40" t="str">
        <f t="shared" si="41"/>
        <v xml:space="preserve"> </v>
      </c>
      <c r="AN106" s="294"/>
      <c r="AO106" s="294"/>
      <c r="AP106" s="294"/>
      <c r="AQ106" s="40"/>
      <c r="AR106" s="285"/>
      <c r="AS106" s="28"/>
      <c r="AT106" s="28"/>
      <c r="AU106" s="34"/>
      <c r="AV106" s="278"/>
      <c r="AW106" s="278"/>
      <c r="AX106" s="278"/>
      <c r="AY106" s="281"/>
      <c r="AZ106" s="61"/>
      <c r="BA106" s="271"/>
      <c r="BB106" s="31"/>
      <c r="BC106" s="42"/>
      <c r="BD106" s="29"/>
      <c r="BE106" s="30" t="str">
        <f t="shared" si="32"/>
        <v/>
      </c>
      <c r="BF106" s="30" t="str">
        <f t="shared" si="33"/>
        <v/>
      </c>
      <c r="BG106" s="30" t="str">
        <f t="shared" si="34"/>
        <v/>
      </c>
      <c r="BH106" s="30" t="str">
        <f t="shared" si="35"/>
        <v/>
      </c>
      <c r="BI106" s="30" t="str">
        <f t="shared" si="36"/>
        <v/>
      </c>
      <c r="BJ106" s="13"/>
      <c r="BK106" s="49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</row>
    <row r="107" spans="1:73">
      <c r="A107" s="25" t="str">
        <f t="shared" si="37"/>
        <v/>
      </c>
      <c r="B107" s="48"/>
      <c r="C107" s="632"/>
      <c r="D107" s="632"/>
      <c r="E107" s="632"/>
      <c r="F107" s="50">
        <v>102</v>
      </c>
      <c r="G107" s="44"/>
      <c r="H107" s="37"/>
      <c r="I107" s="37"/>
      <c r="J107" s="37"/>
      <c r="K107" s="39"/>
      <c r="L107" s="39"/>
      <c r="M107" s="39"/>
      <c r="N107" s="31"/>
      <c r="O107" s="63"/>
      <c r="P107" s="37"/>
      <c r="Q107" s="53"/>
      <c r="R107" s="53"/>
      <c r="S107" s="457" t="str">
        <f t="shared" si="42"/>
        <v/>
      </c>
      <c r="T107" s="537"/>
      <c r="U107" s="60"/>
      <c r="V107" s="60"/>
      <c r="W107" s="60"/>
      <c r="X107" s="60"/>
      <c r="Y107" s="31"/>
      <c r="Z107" s="37"/>
      <c r="AA107" s="31"/>
      <c r="AB107" s="39"/>
      <c r="AC107" s="41"/>
      <c r="AD107" s="41"/>
      <c r="AE107" s="41"/>
      <c r="AF107" s="40" t="str">
        <f t="shared" si="29"/>
        <v xml:space="preserve"> </v>
      </c>
      <c r="AG107" s="40" t="str">
        <f t="shared" si="29"/>
        <v xml:space="preserve"> </v>
      </c>
      <c r="AH107" s="41"/>
      <c r="AI107" s="40" t="str">
        <f t="shared" si="30"/>
        <v/>
      </c>
      <c r="AJ107" s="40"/>
      <c r="AK107" s="40" t="str">
        <f t="shared" si="41"/>
        <v xml:space="preserve"> </v>
      </c>
      <c r="AL107" s="40"/>
      <c r="AM107" s="40" t="str">
        <f t="shared" si="41"/>
        <v xml:space="preserve"> </v>
      </c>
      <c r="AN107" s="294"/>
      <c r="AO107" s="294"/>
      <c r="AP107" s="294"/>
      <c r="AQ107" s="40"/>
      <c r="AR107" s="285"/>
      <c r="AS107" s="28"/>
      <c r="AT107" s="28"/>
      <c r="AU107" s="34"/>
      <c r="AV107" s="278"/>
      <c r="AW107" s="278"/>
      <c r="AX107" s="278"/>
      <c r="AY107" s="281"/>
      <c r="AZ107" s="61"/>
      <c r="BA107" s="271"/>
      <c r="BB107" s="31"/>
      <c r="BC107" s="42"/>
      <c r="BD107" s="29"/>
      <c r="BE107" s="30" t="str">
        <f t="shared" si="32"/>
        <v/>
      </c>
      <c r="BF107" s="30" t="str">
        <f t="shared" si="33"/>
        <v/>
      </c>
      <c r="BG107" s="30" t="str">
        <f t="shared" si="34"/>
        <v/>
      </c>
      <c r="BH107" s="30" t="str">
        <f t="shared" si="35"/>
        <v/>
      </c>
      <c r="BI107" s="30" t="str">
        <f t="shared" si="36"/>
        <v/>
      </c>
      <c r="BJ107" s="13"/>
      <c r="BK107" s="49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</row>
    <row r="108" spans="1:73">
      <c r="A108" s="13"/>
      <c r="B108" s="13"/>
      <c r="C108" s="13"/>
      <c r="D108" s="13"/>
      <c r="E108" s="13"/>
      <c r="F108" s="49"/>
      <c r="G108" s="36"/>
      <c r="H108" s="36"/>
      <c r="I108" s="36"/>
      <c r="J108" s="36"/>
      <c r="K108" s="36"/>
      <c r="L108" s="36"/>
      <c r="M108" s="36"/>
      <c r="N108" s="13"/>
      <c r="O108" s="202"/>
      <c r="P108" s="36"/>
      <c r="Q108" s="52"/>
      <c r="R108" s="52"/>
      <c r="S108" s="52"/>
      <c r="U108" s="202"/>
      <c r="V108" s="202"/>
      <c r="W108" s="202"/>
      <c r="X108" s="202"/>
      <c r="Y108" s="13"/>
      <c r="Z108" s="36"/>
      <c r="AA108" s="13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289"/>
      <c r="AO108" s="289"/>
      <c r="AP108" s="289"/>
      <c r="AQ108" s="36"/>
      <c r="AR108" s="283"/>
      <c r="AS108" s="13"/>
      <c r="AT108" s="13"/>
      <c r="AU108" s="32"/>
      <c r="AV108" s="277"/>
      <c r="AW108" s="277"/>
      <c r="AX108" s="277"/>
      <c r="AY108" s="280"/>
      <c r="AZ108" s="268"/>
      <c r="BA108" s="268"/>
      <c r="BB108" s="13"/>
      <c r="BC108" s="36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</row>
    <row r="109" spans="1:73">
      <c r="A109" s="13"/>
      <c r="B109" s="13"/>
      <c r="C109" s="13"/>
      <c r="D109" s="13"/>
      <c r="E109" s="13"/>
      <c r="F109" s="13"/>
      <c r="G109" s="36"/>
      <c r="H109" s="36"/>
      <c r="I109" s="36"/>
      <c r="J109" s="36"/>
      <c r="K109" s="36"/>
      <c r="L109" s="36"/>
      <c r="M109" s="36"/>
      <c r="N109" s="13"/>
      <c r="O109" s="202"/>
      <c r="P109" s="36"/>
      <c r="Q109" s="52"/>
      <c r="R109" s="52"/>
      <c r="S109" s="52"/>
      <c r="U109" s="202"/>
      <c r="V109" s="202"/>
      <c r="W109" s="202"/>
      <c r="X109" s="202"/>
      <c r="Y109" s="13"/>
      <c r="Z109" s="36"/>
      <c r="AA109" s="13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289"/>
      <c r="AO109" s="289"/>
      <c r="AP109" s="289"/>
      <c r="AQ109" s="36"/>
      <c r="AR109" s="283"/>
      <c r="AS109" s="13"/>
      <c r="AT109" s="13"/>
      <c r="AU109" s="32"/>
      <c r="AV109" s="277"/>
      <c r="AW109" s="277"/>
      <c r="AX109" s="277"/>
      <c r="AY109" s="280"/>
      <c r="AZ109" s="268"/>
      <c r="BA109" s="268"/>
      <c r="BB109" s="13"/>
      <c r="BC109" s="36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</row>
    <row r="110" spans="1:73">
      <c r="A110" s="13"/>
      <c r="B110" s="13"/>
      <c r="C110" s="13"/>
      <c r="D110" s="13"/>
      <c r="E110" s="13"/>
      <c r="F110" s="13"/>
      <c r="G110" s="36"/>
      <c r="H110" s="36"/>
      <c r="I110" s="36"/>
      <c r="J110" s="36"/>
      <c r="K110" s="36"/>
      <c r="L110" s="36"/>
      <c r="M110" s="36"/>
      <c r="N110" s="13"/>
      <c r="O110" s="202"/>
      <c r="P110" s="36"/>
      <c r="Q110" s="52"/>
      <c r="R110" s="52"/>
      <c r="S110" s="52"/>
      <c r="U110" s="202"/>
      <c r="V110" s="202"/>
      <c r="W110" s="202"/>
      <c r="X110" s="202"/>
      <c r="Y110" s="13"/>
      <c r="Z110" s="36"/>
      <c r="AA110" s="13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289"/>
      <c r="AO110" s="289"/>
      <c r="AP110" s="289"/>
      <c r="AQ110" s="36"/>
      <c r="AR110" s="283"/>
      <c r="AS110" s="13"/>
      <c r="AT110" s="13"/>
      <c r="AU110" s="32"/>
      <c r="AV110" s="277"/>
      <c r="AW110" s="277"/>
      <c r="AX110" s="277"/>
      <c r="AY110" s="280"/>
      <c r="AZ110" s="268"/>
      <c r="BA110" s="268"/>
      <c r="BB110" s="13"/>
      <c r="BC110" s="36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</row>
    <row r="111" spans="1:73">
      <c r="A111" s="13"/>
      <c r="B111" s="13"/>
      <c r="C111" s="13"/>
      <c r="D111" s="13"/>
      <c r="E111" s="13"/>
      <c r="F111" s="13"/>
      <c r="G111" s="36"/>
      <c r="H111" s="36"/>
      <c r="I111" s="36"/>
      <c r="J111" s="36"/>
      <c r="K111" s="36"/>
      <c r="L111" s="36"/>
      <c r="M111" s="36"/>
      <c r="N111" s="13"/>
      <c r="O111" s="202"/>
      <c r="P111" s="36"/>
      <c r="Q111" s="52"/>
      <c r="R111" s="52"/>
      <c r="S111" s="52"/>
      <c r="U111" s="202"/>
      <c r="V111" s="202"/>
      <c r="W111" s="202"/>
      <c r="X111" s="202"/>
      <c r="Y111" s="13"/>
      <c r="Z111" s="36"/>
      <c r="AA111" s="13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289"/>
      <c r="AO111" s="289"/>
      <c r="AP111" s="289"/>
      <c r="AQ111" s="36"/>
      <c r="AR111" s="283"/>
      <c r="AS111" s="13"/>
      <c r="AT111" s="13"/>
      <c r="AU111" s="32"/>
      <c r="AV111" s="277"/>
      <c r="AW111" s="277"/>
      <c r="AX111" s="277"/>
      <c r="AY111" s="280"/>
      <c r="AZ111" s="268"/>
      <c r="BA111" s="268"/>
      <c r="BB111" s="13"/>
      <c r="BC111" s="36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</row>
    <row r="112" spans="1:73">
      <c r="A112" s="13"/>
      <c r="B112" s="13"/>
      <c r="C112" s="13"/>
      <c r="D112" s="13"/>
      <c r="E112" s="13"/>
      <c r="F112" s="13"/>
      <c r="G112" s="36"/>
      <c r="H112" s="36"/>
      <c r="I112" s="36"/>
      <c r="J112" s="36"/>
      <c r="K112" s="36"/>
      <c r="L112" s="36"/>
      <c r="M112" s="36"/>
      <c r="N112" s="13"/>
      <c r="O112" s="202"/>
      <c r="P112" s="36"/>
      <c r="Q112" s="52"/>
      <c r="R112" s="52"/>
      <c r="S112" s="52"/>
      <c r="U112" s="202"/>
      <c r="V112" s="202"/>
      <c r="W112" s="202"/>
      <c r="X112" s="202"/>
      <c r="Y112" s="13"/>
      <c r="Z112" s="36"/>
      <c r="AA112" s="13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289"/>
      <c r="AO112" s="289"/>
      <c r="AP112" s="289"/>
      <c r="AQ112" s="36"/>
      <c r="AR112" s="283"/>
      <c r="AS112" s="13"/>
      <c r="AT112" s="13"/>
      <c r="AU112" s="32"/>
      <c r="AV112" s="277"/>
      <c r="AW112" s="277"/>
      <c r="AX112" s="277"/>
      <c r="AY112" s="280"/>
      <c r="AZ112" s="268"/>
      <c r="BA112" s="268"/>
      <c r="BB112" s="13"/>
      <c r="BC112" s="36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</row>
    <row r="113" spans="1:73">
      <c r="A113" s="13"/>
      <c r="B113" s="13"/>
      <c r="C113" s="13"/>
      <c r="D113" s="13"/>
      <c r="E113" s="13"/>
      <c r="F113" s="13"/>
      <c r="G113" s="36"/>
      <c r="H113" s="36"/>
      <c r="I113" s="36"/>
      <c r="J113" s="36"/>
      <c r="K113" s="36"/>
      <c r="L113" s="36"/>
      <c r="M113" s="36"/>
      <c r="N113" s="13"/>
      <c r="O113" s="202"/>
      <c r="P113" s="36"/>
      <c r="Q113" s="52"/>
      <c r="R113" s="52"/>
      <c r="S113" s="52"/>
      <c r="U113" s="202"/>
      <c r="V113" s="202"/>
      <c r="W113" s="202"/>
      <c r="X113" s="202"/>
      <c r="Y113" s="13"/>
      <c r="Z113" s="36"/>
      <c r="AA113" s="13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289"/>
      <c r="AO113" s="289"/>
      <c r="AP113" s="289"/>
      <c r="AQ113" s="36"/>
      <c r="AR113" s="283"/>
      <c r="AS113" s="13"/>
      <c r="AT113" s="13"/>
      <c r="AU113" s="32"/>
      <c r="AV113" s="277"/>
      <c r="AW113" s="277"/>
      <c r="AX113" s="277"/>
      <c r="AY113" s="280"/>
      <c r="AZ113" s="268"/>
      <c r="BA113" s="268"/>
      <c r="BB113" s="13"/>
      <c r="BC113" s="36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</row>
    <row r="114" spans="1:73">
      <c r="A114" s="13"/>
      <c r="B114" s="13"/>
      <c r="C114" s="13"/>
      <c r="D114" s="13"/>
      <c r="E114" s="13"/>
      <c r="F114" s="13"/>
      <c r="G114" s="36"/>
      <c r="H114" s="36"/>
      <c r="I114" s="36"/>
      <c r="J114" s="36"/>
      <c r="K114" s="36"/>
      <c r="L114" s="36"/>
      <c r="M114" s="36"/>
      <c r="N114" s="13"/>
      <c r="O114" s="202"/>
      <c r="P114" s="36"/>
      <c r="Q114" s="52"/>
      <c r="R114" s="52"/>
      <c r="S114" s="52"/>
      <c r="U114" s="202"/>
      <c r="V114" s="202"/>
      <c r="W114" s="202"/>
      <c r="X114" s="202"/>
      <c r="Y114" s="13"/>
      <c r="Z114" s="36"/>
      <c r="AA114" s="13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289"/>
      <c r="AO114" s="289"/>
      <c r="AP114" s="289"/>
      <c r="AQ114" s="36"/>
      <c r="AR114" s="283"/>
      <c r="AS114" s="13"/>
      <c r="AT114" s="13"/>
      <c r="AU114" s="32"/>
      <c r="AV114" s="277"/>
      <c r="AW114" s="277"/>
      <c r="AX114" s="277"/>
      <c r="AY114" s="280"/>
      <c r="AZ114" s="268"/>
      <c r="BA114" s="268"/>
      <c r="BB114" s="13"/>
      <c r="BC114" s="36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</row>
    <row r="115" spans="1:73">
      <c r="A115" s="13"/>
      <c r="B115" s="13"/>
      <c r="C115" s="13"/>
      <c r="D115" s="13"/>
      <c r="E115" s="13"/>
      <c r="F115" s="13"/>
      <c r="G115" s="36"/>
      <c r="H115" s="36"/>
      <c r="I115" s="36"/>
      <c r="J115" s="36"/>
      <c r="K115" s="36"/>
      <c r="L115" s="36"/>
      <c r="M115" s="36"/>
      <c r="N115" s="13"/>
      <c r="O115" s="202"/>
      <c r="P115" s="36"/>
      <c r="Q115" s="52"/>
      <c r="R115" s="52"/>
      <c r="S115" s="52"/>
      <c r="U115" s="202"/>
      <c r="V115" s="202"/>
      <c r="W115" s="202"/>
      <c r="X115" s="202"/>
      <c r="Y115" s="13"/>
      <c r="Z115" s="36"/>
      <c r="AA115" s="13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289"/>
      <c r="AO115" s="289"/>
      <c r="AP115" s="289"/>
      <c r="AQ115" s="36"/>
      <c r="AR115" s="283"/>
      <c r="AS115" s="13"/>
      <c r="AT115" s="13"/>
      <c r="AU115" s="32"/>
      <c r="AV115" s="277"/>
      <c r="AW115" s="277"/>
      <c r="AX115" s="277"/>
      <c r="AY115" s="280"/>
      <c r="AZ115" s="268"/>
      <c r="BA115" s="268"/>
      <c r="BB115" s="13"/>
      <c r="BC115" s="36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</row>
    <row r="116" spans="1:73">
      <c r="A116" s="13"/>
      <c r="B116" s="13"/>
      <c r="C116" s="13"/>
      <c r="D116" s="13"/>
      <c r="E116" s="13"/>
      <c r="F116" s="13"/>
      <c r="G116" s="36"/>
      <c r="H116" s="36"/>
      <c r="I116" s="36"/>
      <c r="J116" s="36"/>
      <c r="K116" s="36"/>
      <c r="L116" s="36"/>
      <c r="M116" s="36"/>
      <c r="N116" s="13"/>
      <c r="O116" s="202"/>
      <c r="P116" s="36"/>
      <c r="Q116" s="52"/>
      <c r="R116" s="52"/>
      <c r="S116" s="52"/>
      <c r="U116" s="202"/>
      <c r="V116" s="202"/>
      <c r="W116" s="202"/>
      <c r="X116" s="202"/>
      <c r="Y116" s="13"/>
      <c r="Z116" s="36"/>
      <c r="AA116" s="13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289"/>
      <c r="AO116" s="289"/>
      <c r="AP116" s="289"/>
      <c r="AQ116" s="36"/>
      <c r="AR116" s="283"/>
      <c r="AS116" s="13"/>
      <c r="AT116" s="13"/>
      <c r="AU116" s="32"/>
      <c r="AV116" s="277"/>
      <c r="AW116" s="277"/>
      <c r="AX116" s="277"/>
      <c r="AY116" s="280"/>
      <c r="AZ116" s="268"/>
      <c r="BA116" s="268"/>
      <c r="BB116" s="13"/>
      <c r="BC116" s="36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</row>
    <row r="117" spans="1:73">
      <c r="A117" s="13"/>
      <c r="B117" s="13"/>
      <c r="C117" s="13"/>
      <c r="D117" s="13"/>
      <c r="E117" s="13"/>
      <c r="F117" s="13"/>
      <c r="G117" s="36"/>
      <c r="H117" s="36"/>
      <c r="I117" s="36"/>
      <c r="J117" s="36"/>
      <c r="K117" s="36"/>
      <c r="L117" s="36"/>
      <c r="M117" s="36"/>
      <c r="N117" s="13"/>
      <c r="O117" s="202"/>
      <c r="P117" s="36"/>
      <c r="Q117" s="52"/>
      <c r="R117" s="52"/>
      <c r="S117" s="52"/>
      <c r="U117" s="202"/>
      <c r="V117" s="202"/>
      <c r="W117" s="202"/>
      <c r="X117" s="202"/>
      <c r="Y117" s="13"/>
      <c r="Z117" s="36"/>
      <c r="AA117" s="13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289"/>
      <c r="AO117" s="289"/>
      <c r="AP117" s="289"/>
      <c r="AQ117" s="36"/>
      <c r="AR117" s="283"/>
      <c r="AS117" s="13"/>
      <c r="AT117" s="13"/>
      <c r="AU117" s="32"/>
      <c r="AV117" s="277"/>
      <c r="AW117" s="277"/>
      <c r="AX117" s="277"/>
      <c r="AY117" s="280"/>
      <c r="AZ117" s="268"/>
      <c r="BA117" s="268"/>
      <c r="BB117" s="13"/>
      <c r="BC117" s="36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</row>
    <row r="118" spans="1:73">
      <c r="A118" s="13"/>
      <c r="B118" s="13"/>
      <c r="C118" s="13"/>
      <c r="D118" s="13"/>
      <c r="E118" s="13"/>
      <c r="F118" s="13"/>
      <c r="G118" s="36"/>
      <c r="H118" s="36"/>
      <c r="I118" s="36"/>
      <c r="J118" s="36"/>
      <c r="K118" s="36"/>
      <c r="L118" s="36"/>
      <c r="M118" s="36"/>
      <c r="N118" s="13"/>
      <c r="O118" s="202"/>
      <c r="P118" s="36"/>
      <c r="Q118" s="52"/>
      <c r="R118" s="52"/>
      <c r="S118" s="52"/>
      <c r="U118" s="202"/>
      <c r="V118" s="202"/>
      <c r="W118" s="202"/>
      <c r="X118" s="202"/>
      <c r="Y118" s="13"/>
      <c r="Z118" s="36"/>
      <c r="AA118" s="13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289"/>
      <c r="AO118" s="289"/>
      <c r="AP118" s="289"/>
      <c r="AQ118" s="36"/>
      <c r="AR118" s="283"/>
      <c r="AS118" s="13"/>
      <c r="AT118" s="13"/>
      <c r="AU118" s="32"/>
      <c r="AV118" s="277"/>
      <c r="AW118" s="277"/>
      <c r="AX118" s="277"/>
      <c r="AY118" s="280"/>
      <c r="AZ118" s="268"/>
      <c r="BA118" s="268"/>
      <c r="BB118" s="13"/>
      <c r="BC118" s="36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</row>
    <row r="119" spans="1:73">
      <c r="A119" s="13"/>
      <c r="B119" s="13"/>
      <c r="C119" s="13"/>
      <c r="D119" s="13"/>
      <c r="E119" s="13"/>
      <c r="F119" s="13"/>
      <c r="G119" s="36"/>
      <c r="H119" s="36"/>
      <c r="I119" s="36"/>
      <c r="J119" s="36"/>
      <c r="K119" s="36"/>
      <c r="L119" s="36"/>
      <c r="M119" s="36"/>
      <c r="N119" s="13"/>
      <c r="O119" s="202"/>
      <c r="P119" s="36"/>
      <c r="Q119" s="52"/>
      <c r="R119" s="52"/>
      <c r="S119" s="52"/>
      <c r="U119" s="202"/>
      <c r="V119" s="202"/>
      <c r="W119" s="202"/>
      <c r="X119" s="202"/>
      <c r="Y119" s="13"/>
      <c r="Z119" s="36"/>
      <c r="AA119" s="13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289"/>
      <c r="AO119" s="289"/>
      <c r="AP119" s="289"/>
      <c r="AQ119" s="36"/>
      <c r="AR119" s="283"/>
      <c r="AS119" s="13"/>
      <c r="AT119" s="13"/>
      <c r="AU119" s="32"/>
      <c r="AV119" s="277"/>
      <c r="AW119" s="277"/>
      <c r="AX119" s="277"/>
      <c r="AY119" s="280"/>
      <c r="AZ119" s="268"/>
      <c r="BA119" s="268"/>
      <c r="BB119" s="13"/>
      <c r="BC119" s="36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</row>
    <row r="120" spans="1:73">
      <c r="A120" s="13"/>
      <c r="B120" s="13"/>
      <c r="C120" s="13"/>
      <c r="D120" s="13"/>
      <c r="E120" s="13"/>
      <c r="F120" s="13"/>
      <c r="G120" s="36"/>
      <c r="H120" s="36"/>
      <c r="I120" s="36"/>
      <c r="J120" s="36"/>
      <c r="K120" s="36"/>
      <c r="L120" s="36"/>
      <c r="M120" s="36"/>
      <c r="N120" s="13"/>
      <c r="O120" s="202"/>
      <c r="P120" s="36"/>
      <c r="Q120" s="52"/>
      <c r="R120" s="52"/>
      <c r="S120" s="52"/>
      <c r="U120" s="202"/>
      <c r="V120" s="202"/>
      <c r="W120" s="202"/>
      <c r="X120" s="202"/>
      <c r="Y120" s="13"/>
      <c r="Z120" s="36"/>
      <c r="AA120" s="13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289"/>
      <c r="AO120" s="289"/>
      <c r="AP120" s="289"/>
      <c r="AQ120" s="36"/>
      <c r="AR120" s="283"/>
      <c r="AS120" s="13"/>
      <c r="AT120" s="13"/>
      <c r="AU120" s="32"/>
      <c r="AV120" s="277"/>
      <c r="AW120" s="277"/>
      <c r="AX120" s="277"/>
      <c r="AY120" s="280"/>
      <c r="AZ120" s="268"/>
      <c r="BA120" s="268"/>
      <c r="BB120" s="13"/>
      <c r="BC120" s="36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</row>
    <row r="121" spans="1:73">
      <c r="A121" s="13"/>
      <c r="B121" s="13"/>
      <c r="C121" s="13"/>
      <c r="D121" s="13"/>
      <c r="E121" s="13"/>
      <c r="F121" s="13"/>
      <c r="G121" s="36"/>
      <c r="H121" s="36"/>
      <c r="I121" s="36"/>
      <c r="J121" s="36"/>
      <c r="K121" s="36"/>
      <c r="L121" s="36"/>
      <c r="M121" s="36"/>
      <c r="N121" s="13"/>
      <c r="O121" s="202"/>
      <c r="P121" s="36"/>
      <c r="Q121" s="52"/>
      <c r="R121" s="52"/>
      <c r="S121" s="52"/>
      <c r="U121" s="202"/>
      <c r="V121" s="202"/>
      <c r="W121" s="202"/>
      <c r="X121" s="202"/>
      <c r="Y121" s="13"/>
      <c r="Z121" s="36"/>
      <c r="AA121" s="13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289"/>
      <c r="AO121" s="289"/>
      <c r="AP121" s="289"/>
      <c r="AQ121" s="36"/>
      <c r="AR121" s="283"/>
      <c r="AS121" s="13"/>
      <c r="AT121" s="13"/>
      <c r="AU121" s="32"/>
      <c r="AV121" s="277"/>
      <c r="AW121" s="277"/>
      <c r="AX121" s="277"/>
      <c r="AY121" s="280"/>
      <c r="AZ121" s="268"/>
      <c r="BA121" s="268"/>
      <c r="BB121" s="13"/>
      <c r="BC121" s="36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</row>
    <row r="122" spans="1:73">
      <c r="A122" s="13"/>
      <c r="B122" s="13"/>
      <c r="C122" s="13"/>
      <c r="D122" s="13"/>
      <c r="E122" s="13"/>
      <c r="F122" s="13"/>
      <c r="G122" s="36"/>
      <c r="H122" s="36"/>
      <c r="I122" s="36"/>
      <c r="J122" s="36"/>
      <c r="K122" s="36"/>
      <c r="L122" s="36"/>
      <c r="M122" s="36"/>
      <c r="N122" s="13"/>
      <c r="O122" s="202"/>
      <c r="P122" s="36"/>
      <c r="Q122" s="52"/>
      <c r="R122" s="52"/>
      <c r="S122" s="52"/>
      <c r="U122" s="202"/>
      <c r="V122" s="202"/>
      <c r="W122" s="202"/>
      <c r="X122" s="202"/>
      <c r="Y122" s="13"/>
      <c r="Z122" s="36"/>
      <c r="AA122" s="13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289"/>
      <c r="AO122" s="289"/>
      <c r="AP122" s="289"/>
      <c r="AQ122" s="36"/>
      <c r="AR122" s="283"/>
      <c r="AS122" s="13"/>
      <c r="AT122" s="13"/>
      <c r="AU122" s="32"/>
      <c r="AV122" s="277"/>
      <c r="AW122" s="277"/>
      <c r="AX122" s="277"/>
      <c r="AY122" s="280"/>
      <c r="AZ122" s="268"/>
      <c r="BA122" s="268"/>
      <c r="BB122" s="13"/>
      <c r="BC122" s="36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</row>
    <row r="123" spans="1:73">
      <c r="A123" s="13"/>
      <c r="B123" s="13"/>
      <c r="C123" s="13"/>
      <c r="D123" s="13"/>
      <c r="E123" s="13"/>
      <c r="F123" s="13"/>
      <c r="G123" s="36"/>
      <c r="H123" s="36"/>
      <c r="I123" s="36"/>
      <c r="J123" s="36"/>
      <c r="K123" s="36"/>
      <c r="L123" s="36"/>
      <c r="M123" s="36"/>
      <c r="N123" s="13"/>
      <c r="O123" s="202"/>
      <c r="P123" s="36"/>
      <c r="Q123" s="52"/>
      <c r="R123" s="52"/>
      <c r="S123" s="52"/>
      <c r="U123" s="202"/>
      <c r="V123" s="202"/>
      <c r="W123" s="202"/>
      <c r="X123" s="202"/>
      <c r="Y123" s="13"/>
      <c r="Z123" s="36"/>
      <c r="AA123" s="13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289"/>
      <c r="AO123" s="289"/>
      <c r="AP123" s="289"/>
      <c r="AQ123" s="36"/>
      <c r="AR123" s="283"/>
      <c r="AS123" s="13"/>
      <c r="AT123" s="13"/>
      <c r="AU123" s="32"/>
      <c r="AV123" s="277"/>
      <c r="AW123" s="277"/>
      <c r="AX123" s="277"/>
      <c r="AY123" s="280"/>
      <c r="AZ123" s="268"/>
      <c r="BA123" s="268"/>
      <c r="BB123" s="13"/>
      <c r="BC123" s="36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</row>
    <row r="124" spans="1:73">
      <c r="A124" s="13"/>
      <c r="B124" s="13"/>
      <c r="C124" s="13"/>
      <c r="D124" s="13"/>
      <c r="E124" s="13"/>
      <c r="F124" s="13"/>
      <c r="G124" s="36"/>
      <c r="H124" s="36"/>
      <c r="I124" s="36"/>
      <c r="J124" s="36"/>
      <c r="K124" s="36"/>
      <c r="L124" s="36"/>
      <c r="M124" s="36"/>
      <c r="N124" s="13"/>
      <c r="O124" s="202"/>
      <c r="P124" s="36"/>
      <c r="Q124" s="52"/>
      <c r="R124" s="52"/>
      <c r="S124" s="52"/>
      <c r="U124" s="202"/>
      <c r="V124" s="202"/>
      <c r="W124" s="202"/>
      <c r="X124" s="202"/>
      <c r="Y124" s="13"/>
      <c r="Z124" s="36"/>
      <c r="AA124" s="13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289"/>
      <c r="AO124" s="289"/>
      <c r="AP124" s="289"/>
      <c r="AQ124" s="36"/>
      <c r="AR124" s="283"/>
      <c r="AS124" s="13"/>
      <c r="AT124" s="13"/>
      <c r="AU124" s="32"/>
      <c r="AV124" s="277"/>
      <c r="AW124" s="277"/>
      <c r="AX124" s="277"/>
      <c r="AY124" s="280"/>
      <c r="AZ124" s="268"/>
      <c r="BA124" s="268"/>
      <c r="BB124" s="13"/>
      <c r="BC124" s="36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</row>
    <row r="125" spans="1:73">
      <c r="A125" s="13"/>
      <c r="B125" s="13"/>
      <c r="C125" s="13"/>
      <c r="D125" s="13"/>
      <c r="E125" s="13"/>
      <c r="F125" s="13"/>
      <c r="G125" s="36"/>
      <c r="H125" s="36"/>
      <c r="I125" s="36"/>
      <c r="J125" s="36"/>
      <c r="K125" s="36"/>
      <c r="L125" s="36"/>
      <c r="M125" s="36"/>
      <c r="N125" s="13"/>
      <c r="O125" s="202"/>
      <c r="P125" s="36"/>
      <c r="Q125" s="52"/>
      <c r="R125" s="52"/>
      <c r="S125" s="52"/>
      <c r="U125" s="202"/>
      <c r="V125" s="202"/>
      <c r="W125" s="202"/>
      <c r="X125" s="202"/>
      <c r="Y125" s="13"/>
      <c r="Z125" s="36"/>
      <c r="AA125" s="13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289"/>
      <c r="AO125" s="289"/>
      <c r="AP125" s="289"/>
      <c r="AQ125" s="36"/>
      <c r="AR125" s="283"/>
      <c r="AS125" s="13"/>
      <c r="AT125" s="13"/>
      <c r="AU125" s="32"/>
      <c r="AV125" s="277"/>
      <c r="AW125" s="277"/>
      <c r="AX125" s="277"/>
      <c r="AY125" s="280"/>
      <c r="AZ125" s="268"/>
      <c r="BA125" s="268"/>
      <c r="BB125" s="13"/>
      <c r="BC125" s="36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</row>
    <row r="126" spans="1:73">
      <c r="A126" s="13"/>
      <c r="B126" s="13"/>
      <c r="C126" s="13"/>
      <c r="D126" s="13"/>
      <c r="E126" s="13"/>
      <c r="F126" s="13"/>
      <c r="G126" s="36"/>
      <c r="H126" s="36"/>
      <c r="I126" s="36"/>
      <c r="J126" s="36"/>
      <c r="K126" s="36"/>
      <c r="L126" s="36"/>
      <c r="M126" s="36"/>
      <c r="N126" s="13"/>
      <c r="O126" s="202"/>
      <c r="P126" s="36"/>
      <c r="Q126" s="52"/>
      <c r="R126" s="52"/>
      <c r="S126" s="52"/>
      <c r="U126" s="202"/>
      <c r="V126" s="202"/>
      <c r="W126" s="202"/>
      <c r="X126" s="202"/>
      <c r="Y126" s="13"/>
      <c r="Z126" s="36"/>
      <c r="AA126" s="13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289"/>
      <c r="AO126" s="289"/>
      <c r="AP126" s="289"/>
      <c r="AQ126" s="36"/>
      <c r="AR126" s="283"/>
      <c r="AS126" s="13"/>
      <c r="AT126" s="13"/>
      <c r="AU126" s="32"/>
      <c r="AV126" s="277"/>
      <c r="AW126" s="277"/>
      <c r="AX126" s="277"/>
      <c r="AY126" s="280"/>
      <c r="AZ126" s="268"/>
      <c r="BA126" s="268"/>
      <c r="BB126" s="13"/>
      <c r="BC126" s="36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</row>
    <row r="127" spans="1:73">
      <c r="A127" s="13"/>
      <c r="B127" s="13"/>
      <c r="C127" s="13"/>
      <c r="D127" s="13"/>
      <c r="E127" s="13"/>
      <c r="F127" s="13"/>
      <c r="G127" s="36"/>
      <c r="H127" s="36"/>
      <c r="I127" s="36"/>
      <c r="J127" s="36"/>
      <c r="K127" s="36"/>
      <c r="L127" s="36"/>
      <c r="M127" s="36"/>
      <c r="N127" s="13"/>
      <c r="O127" s="202"/>
      <c r="P127" s="36"/>
      <c r="Q127" s="52"/>
      <c r="R127" s="52"/>
      <c r="S127" s="52"/>
      <c r="U127" s="202"/>
      <c r="V127" s="202"/>
      <c r="W127" s="202"/>
      <c r="X127" s="202"/>
      <c r="Y127" s="13"/>
      <c r="Z127" s="36"/>
      <c r="AA127" s="13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289"/>
      <c r="AO127" s="289"/>
      <c r="AP127" s="289"/>
      <c r="AQ127" s="36"/>
      <c r="AR127" s="283"/>
      <c r="AS127" s="13"/>
      <c r="AT127" s="13"/>
      <c r="AU127" s="32"/>
      <c r="AV127" s="277"/>
      <c r="AW127" s="277"/>
      <c r="AX127" s="277"/>
      <c r="AY127" s="280"/>
      <c r="AZ127" s="268"/>
      <c r="BA127" s="268"/>
      <c r="BB127" s="13"/>
      <c r="BC127" s="36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</row>
    <row r="128" spans="1:73">
      <c r="A128" s="13"/>
      <c r="B128" s="13"/>
      <c r="C128" s="13"/>
      <c r="D128" s="13"/>
      <c r="E128" s="13"/>
      <c r="F128" s="13"/>
      <c r="G128" s="36"/>
      <c r="H128" s="36"/>
      <c r="I128" s="36"/>
      <c r="J128" s="36"/>
      <c r="K128" s="36"/>
      <c r="L128" s="36"/>
      <c r="M128" s="36"/>
      <c r="N128" s="13"/>
      <c r="O128" s="202"/>
      <c r="P128" s="36"/>
      <c r="Q128" s="52"/>
      <c r="R128" s="52"/>
      <c r="S128" s="52"/>
      <c r="U128" s="202"/>
      <c r="V128" s="202"/>
      <c r="W128" s="202"/>
      <c r="X128" s="202"/>
      <c r="Y128" s="13"/>
      <c r="Z128" s="36"/>
      <c r="AA128" s="13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289"/>
      <c r="AO128" s="289"/>
      <c r="AP128" s="289"/>
      <c r="AQ128" s="36"/>
      <c r="AR128" s="283"/>
      <c r="AS128" s="13"/>
      <c r="AT128" s="13"/>
      <c r="AU128" s="32"/>
      <c r="AV128" s="277"/>
      <c r="AW128" s="277"/>
      <c r="AX128" s="277"/>
      <c r="AY128" s="280"/>
      <c r="AZ128" s="268"/>
      <c r="BA128" s="268"/>
      <c r="BB128" s="13"/>
      <c r="BC128" s="36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</row>
    <row r="129" spans="1:73">
      <c r="A129" s="13"/>
      <c r="B129" s="13"/>
      <c r="C129" s="13"/>
      <c r="D129" s="13"/>
      <c r="E129" s="13"/>
      <c r="F129" s="13"/>
      <c r="G129" s="36"/>
      <c r="H129" s="36"/>
      <c r="I129" s="36"/>
      <c r="J129" s="36"/>
      <c r="K129" s="36"/>
      <c r="L129" s="36"/>
      <c r="M129" s="36"/>
      <c r="N129" s="13"/>
      <c r="O129" s="202"/>
      <c r="P129" s="36"/>
      <c r="Q129" s="52"/>
      <c r="R129" s="52"/>
      <c r="S129" s="52"/>
      <c r="U129" s="202"/>
      <c r="V129" s="202"/>
      <c r="W129" s="202"/>
      <c r="X129" s="202"/>
      <c r="Y129" s="13"/>
      <c r="Z129" s="36"/>
      <c r="AA129" s="13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289"/>
      <c r="AO129" s="289"/>
      <c r="AP129" s="289"/>
      <c r="AQ129" s="36"/>
      <c r="AR129" s="283"/>
      <c r="AS129" s="13"/>
      <c r="AT129" s="13"/>
      <c r="AU129" s="32"/>
      <c r="AV129" s="277"/>
      <c r="AW129" s="277"/>
      <c r="AX129" s="277"/>
      <c r="AY129" s="280"/>
      <c r="AZ129" s="268"/>
      <c r="BA129" s="268"/>
      <c r="BB129" s="13"/>
      <c r="BC129" s="36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</row>
    <row r="130" spans="1:73">
      <c r="A130" s="13"/>
      <c r="B130" s="13"/>
      <c r="C130" s="13"/>
      <c r="D130" s="13"/>
      <c r="E130" s="13"/>
      <c r="F130" s="13"/>
      <c r="G130" s="36"/>
      <c r="H130" s="36"/>
      <c r="I130" s="36"/>
      <c r="J130" s="36"/>
      <c r="K130" s="36"/>
      <c r="L130" s="36"/>
      <c r="M130" s="36"/>
      <c r="N130" s="13"/>
      <c r="O130" s="202"/>
      <c r="P130" s="36"/>
      <c r="Q130" s="52"/>
      <c r="R130" s="52"/>
      <c r="S130" s="52"/>
      <c r="U130" s="202"/>
      <c r="V130" s="202"/>
      <c r="W130" s="202"/>
      <c r="X130" s="202"/>
      <c r="Y130" s="13"/>
      <c r="Z130" s="36"/>
      <c r="AA130" s="13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289"/>
      <c r="AO130" s="289"/>
      <c r="AP130" s="289"/>
      <c r="AQ130" s="36"/>
      <c r="AR130" s="283"/>
      <c r="AS130" s="13"/>
      <c r="AT130" s="13"/>
      <c r="AU130" s="32"/>
      <c r="AV130" s="277"/>
      <c r="AW130" s="277"/>
      <c r="AX130" s="277"/>
      <c r="AY130" s="280"/>
      <c r="AZ130" s="268"/>
      <c r="BA130" s="268"/>
      <c r="BB130" s="13"/>
      <c r="BC130" s="36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</row>
    <row r="131" spans="1:73">
      <c r="A131" s="13"/>
      <c r="B131" s="13"/>
      <c r="C131" s="13"/>
      <c r="D131" s="13"/>
      <c r="E131" s="13"/>
      <c r="F131" s="13"/>
      <c r="G131" s="36"/>
      <c r="H131" s="36"/>
      <c r="I131" s="36"/>
      <c r="J131" s="36"/>
      <c r="K131" s="36"/>
      <c r="L131" s="36"/>
      <c r="M131" s="36"/>
      <c r="N131" s="13"/>
      <c r="O131" s="202"/>
      <c r="P131" s="36"/>
      <c r="Q131" s="52"/>
      <c r="R131" s="52"/>
      <c r="S131" s="52"/>
      <c r="U131" s="202"/>
      <c r="V131" s="202"/>
      <c r="W131" s="202"/>
      <c r="X131" s="202"/>
      <c r="Y131" s="13"/>
      <c r="Z131" s="36"/>
      <c r="AA131" s="13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289"/>
      <c r="AO131" s="289"/>
      <c r="AP131" s="289"/>
      <c r="AQ131" s="36"/>
      <c r="AR131" s="283"/>
      <c r="AS131" s="13"/>
      <c r="AT131" s="13"/>
      <c r="AU131" s="32"/>
      <c r="AV131" s="277"/>
      <c r="AW131" s="277"/>
      <c r="AX131" s="277"/>
      <c r="AY131" s="280"/>
      <c r="AZ131" s="268"/>
      <c r="BA131" s="268"/>
      <c r="BB131" s="13"/>
      <c r="BC131" s="36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</row>
    <row r="132" spans="1:73">
      <c r="A132" s="13"/>
      <c r="B132" s="13"/>
      <c r="C132" s="13"/>
      <c r="D132" s="13"/>
      <c r="E132" s="13"/>
      <c r="F132" s="13"/>
      <c r="G132" s="36"/>
      <c r="H132" s="36"/>
      <c r="I132" s="36"/>
      <c r="J132" s="36"/>
      <c r="K132" s="36"/>
      <c r="L132" s="36"/>
      <c r="M132" s="36"/>
      <c r="N132" s="13"/>
      <c r="O132" s="202"/>
      <c r="P132" s="36"/>
      <c r="Q132" s="52"/>
      <c r="R132" s="52"/>
      <c r="S132" s="52"/>
      <c r="U132" s="202"/>
      <c r="V132" s="202"/>
      <c r="W132" s="202"/>
      <c r="X132" s="202"/>
      <c r="Y132" s="13"/>
      <c r="Z132" s="36"/>
      <c r="AA132" s="13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289"/>
      <c r="AO132" s="289"/>
      <c r="AP132" s="289"/>
      <c r="AQ132" s="36"/>
      <c r="AR132" s="283"/>
      <c r="AS132" s="13"/>
      <c r="AT132" s="13"/>
      <c r="AU132" s="32"/>
      <c r="AV132" s="277"/>
      <c r="AW132" s="277"/>
      <c r="AX132" s="277"/>
      <c r="AY132" s="280"/>
      <c r="AZ132" s="268"/>
      <c r="BA132" s="268"/>
      <c r="BB132" s="13"/>
      <c r="BC132" s="36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</row>
    <row r="133" spans="1:73">
      <c r="A133" s="13"/>
      <c r="B133" s="13"/>
      <c r="C133" s="13"/>
      <c r="D133" s="13"/>
      <c r="E133" s="13"/>
      <c r="F133" s="13"/>
      <c r="G133" s="36"/>
      <c r="H133" s="36"/>
      <c r="I133" s="36"/>
      <c r="J133" s="36"/>
      <c r="K133" s="36"/>
      <c r="L133" s="36"/>
      <c r="M133" s="36"/>
      <c r="N133" s="13"/>
      <c r="O133" s="202"/>
      <c r="P133" s="36"/>
      <c r="Q133" s="52"/>
      <c r="R133" s="52"/>
      <c r="S133" s="52"/>
      <c r="U133" s="202"/>
      <c r="V133" s="202"/>
      <c r="W133" s="202"/>
      <c r="X133" s="202"/>
      <c r="Y133" s="13"/>
      <c r="Z133" s="36"/>
      <c r="AA133" s="13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289"/>
      <c r="AO133" s="289"/>
      <c r="AP133" s="289"/>
      <c r="AQ133" s="36"/>
      <c r="AR133" s="283"/>
      <c r="AS133" s="13"/>
      <c r="AT133" s="13"/>
      <c r="AU133" s="32"/>
      <c r="AV133" s="277"/>
      <c r="AW133" s="277"/>
      <c r="AX133" s="277"/>
      <c r="AY133" s="280"/>
      <c r="AZ133" s="268"/>
      <c r="BA133" s="268"/>
      <c r="BB133" s="13"/>
      <c r="BC133" s="36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</row>
    <row r="134" spans="1:73">
      <c r="A134" s="13"/>
      <c r="B134" s="13"/>
      <c r="C134" s="13"/>
      <c r="D134" s="13"/>
      <c r="E134" s="13"/>
      <c r="F134" s="13"/>
      <c r="G134" s="36"/>
      <c r="H134" s="36"/>
      <c r="I134" s="36"/>
      <c r="J134" s="36"/>
      <c r="K134" s="36"/>
      <c r="L134" s="36"/>
      <c r="M134" s="36"/>
      <c r="N134" s="13"/>
      <c r="O134" s="202"/>
      <c r="P134" s="36"/>
      <c r="Q134" s="52"/>
      <c r="R134" s="52"/>
      <c r="S134" s="52"/>
      <c r="U134" s="202"/>
      <c r="V134" s="202"/>
      <c r="W134" s="202"/>
      <c r="X134" s="202"/>
      <c r="Y134" s="13"/>
      <c r="Z134" s="36"/>
      <c r="AA134" s="13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289"/>
      <c r="AO134" s="289"/>
      <c r="AP134" s="289"/>
      <c r="AQ134" s="36"/>
      <c r="AR134" s="283"/>
      <c r="AS134" s="13"/>
      <c r="AT134" s="13"/>
      <c r="AU134" s="32"/>
      <c r="AV134" s="277"/>
      <c r="AW134" s="277"/>
      <c r="AX134" s="277"/>
      <c r="AY134" s="280"/>
      <c r="AZ134" s="268"/>
      <c r="BA134" s="268"/>
      <c r="BB134" s="13"/>
      <c r="BC134" s="36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</row>
    <row r="135" spans="1:73">
      <c r="A135" s="13"/>
      <c r="B135" s="13"/>
      <c r="C135" s="13"/>
      <c r="D135" s="13"/>
      <c r="E135" s="13"/>
      <c r="F135" s="13"/>
      <c r="G135" s="36"/>
      <c r="H135" s="36"/>
      <c r="I135" s="36"/>
      <c r="J135" s="36"/>
      <c r="K135" s="36"/>
      <c r="L135" s="36"/>
      <c r="M135" s="36"/>
      <c r="N135" s="13"/>
      <c r="O135" s="202"/>
      <c r="P135" s="36"/>
      <c r="Q135" s="52"/>
      <c r="R135" s="52"/>
      <c r="S135" s="52"/>
      <c r="U135" s="202"/>
      <c r="V135" s="202"/>
      <c r="W135" s="202"/>
      <c r="X135" s="202"/>
      <c r="Y135" s="13"/>
      <c r="Z135" s="36"/>
      <c r="AA135" s="13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289"/>
      <c r="AO135" s="289"/>
      <c r="AP135" s="289"/>
      <c r="AQ135" s="36"/>
      <c r="AR135" s="283"/>
      <c r="AS135" s="13"/>
      <c r="AT135" s="13"/>
      <c r="AU135" s="32"/>
      <c r="AV135" s="277"/>
      <c r="AW135" s="277"/>
      <c r="AX135" s="277"/>
      <c r="AY135" s="280"/>
      <c r="AZ135" s="268"/>
      <c r="BA135" s="268"/>
      <c r="BB135" s="13"/>
      <c r="BC135" s="36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</row>
    <row r="136" spans="1:73">
      <c r="A136" s="13"/>
      <c r="B136" s="13"/>
      <c r="C136" s="13"/>
      <c r="D136" s="13"/>
      <c r="E136" s="13"/>
      <c r="F136" s="13"/>
      <c r="G136" s="36"/>
      <c r="H136" s="36"/>
      <c r="I136" s="36"/>
      <c r="J136" s="36"/>
      <c r="K136" s="36"/>
      <c r="L136" s="36"/>
      <c r="M136" s="36"/>
      <c r="N136" s="13"/>
      <c r="O136" s="202"/>
      <c r="P136" s="36"/>
      <c r="Q136" s="52"/>
      <c r="R136" s="52"/>
      <c r="S136" s="52"/>
      <c r="U136" s="202"/>
      <c r="V136" s="202"/>
      <c r="W136" s="202"/>
      <c r="X136" s="202"/>
      <c r="Y136" s="13"/>
      <c r="Z136" s="36"/>
      <c r="AA136" s="13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289"/>
      <c r="AO136" s="289"/>
      <c r="AP136" s="289"/>
      <c r="AQ136" s="36"/>
      <c r="AR136" s="283"/>
      <c r="AS136" s="13"/>
      <c r="AT136" s="13"/>
      <c r="AU136" s="32"/>
      <c r="AV136" s="277"/>
      <c r="AW136" s="277"/>
      <c r="AX136" s="277"/>
      <c r="AY136" s="280"/>
      <c r="AZ136" s="268"/>
      <c r="BA136" s="268"/>
      <c r="BB136" s="13"/>
      <c r="BC136" s="36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</row>
    <row r="137" spans="1:73">
      <c r="A137" s="13"/>
      <c r="B137" s="13"/>
      <c r="C137" s="13"/>
      <c r="D137" s="13"/>
      <c r="E137" s="13"/>
      <c r="F137" s="13"/>
      <c r="G137" s="36"/>
      <c r="H137" s="36"/>
      <c r="I137" s="36"/>
      <c r="J137" s="36"/>
      <c r="K137" s="36"/>
      <c r="L137" s="36"/>
      <c r="M137" s="36"/>
      <c r="N137" s="13"/>
      <c r="O137" s="202"/>
      <c r="P137" s="36"/>
      <c r="Q137" s="52"/>
      <c r="R137" s="52"/>
      <c r="S137" s="52"/>
      <c r="U137" s="202"/>
      <c r="V137" s="202"/>
      <c r="W137" s="202"/>
      <c r="X137" s="202"/>
      <c r="Y137" s="13"/>
      <c r="Z137" s="36"/>
      <c r="AA137" s="13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289"/>
      <c r="AO137" s="289"/>
      <c r="AP137" s="289"/>
      <c r="AQ137" s="36"/>
      <c r="AR137" s="283"/>
      <c r="AS137" s="13"/>
      <c r="AT137" s="13"/>
      <c r="AU137" s="32"/>
      <c r="AV137" s="277"/>
      <c r="AW137" s="277"/>
      <c r="AX137" s="277"/>
      <c r="AY137" s="280"/>
      <c r="AZ137" s="268"/>
      <c r="BA137" s="268"/>
      <c r="BB137" s="13"/>
      <c r="BC137" s="36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</row>
    <row r="138" spans="1:73">
      <c r="A138" s="13"/>
      <c r="B138" s="13"/>
      <c r="C138" s="13"/>
      <c r="D138" s="13"/>
      <c r="E138" s="13"/>
      <c r="F138" s="13"/>
      <c r="G138" s="36"/>
      <c r="H138" s="36"/>
      <c r="I138" s="36"/>
      <c r="J138" s="36"/>
      <c r="K138" s="36"/>
      <c r="L138" s="36"/>
      <c r="M138" s="36"/>
      <c r="N138" s="13"/>
      <c r="O138" s="202"/>
      <c r="P138" s="36"/>
      <c r="Q138" s="52"/>
      <c r="R138" s="52"/>
      <c r="S138" s="52"/>
      <c r="U138" s="202"/>
      <c r="V138" s="202"/>
      <c r="W138" s="202"/>
      <c r="X138" s="202"/>
      <c r="Y138" s="13"/>
      <c r="Z138" s="36"/>
      <c r="AA138" s="13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289"/>
      <c r="AO138" s="289"/>
      <c r="AP138" s="289"/>
      <c r="AQ138" s="36"/>
      <c r="AR138" s="283"/>
      <c r="AS138" s="13"/>
      <c r="AT138" s="13"/>
      <c r="AU138" s="32"/>
      <c r="AV138" s="277"/>
      <c r="AW138" s="277"/>
      <c r="AX138" s="277"/>
      <c r="AY138" s="280"/>
      <c r="AZ138" s="268"/>
      <c r="BA138" s="268"/>
      <c r="BB138" s="13"/>
      <c r="BC138" s="36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</row>
    <row r="139" spans="1:73">
      <c r="A139" s="13"/>
      <c r="B139" s="13"/>
      <c r="C139" s="13"/>
      <c r="D139" s="13"/>
      <c r="E139" s="13"/>
      <c r="F139" s="13"/>
      <c r="G139" s="36"/>
      <c r="H139" s="36"/>
      <c r="I139" s="36"/>
      <c r="J139" s="36"/>
      <c r="K139" s="36"/>
      <c r="L139" s="36"/>
      <c r="M139" s="36"/>
      <c r="N139" s="13"/>
      <c r="O139" s="202"/>
      <c r="P139" s="36"/>
      <c r="Q139" s="52"/>
      <c r="R139" s="52"/>
      <c r="S139" s="52"/>
      <c r="U139" s="202"/>
      <c r="V139" s="202"/>
      <c r="W139" s="202"/>
      <c r="X139" s="202"/>
      <c r="Y139" s="13"/>
      <c r="Z139" s="36"/>
      <c r="AA139" s="13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289"/>
      <c r="AO139" s="289"/>
      <c r="AP139" s="289"/>
      <c r="AQ139" s="36"/>
      <c r="AR139" s="283"/>
      <c r="AS139" s="13"/>
      <c r="AT139" s="13"/>
      <c r="AU139" s="32"/>
      <c r="AV139" s="277"/>
      <c r="AW139" s="277"/>
      <c r="AX139" s="277"/>
      <c r="AY139" s="280"/>
      <c r="AZ139" s="268"/>
      <c r="BA139" s="268"/>
      <c r="BB139" s="13"/>
      <c r="BC139" s="36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</row>
    <row r="140" spans="1:73">
      <c r="A140" s="13"/>
      <c r="B140" s="13"/>
      <c r="C140" s="13"/>
      <c r="D140" s="13"/>
      <c r="E140" s="13"/>
      <c r="F140" s="13"/>
      <c r="G140" s="36"/>
      <c r="H140" s="36"/>
      <c r="I140" s="36"/>
      <c r="J140" s="36"/>
      <c r="K140" s="36"/>
      <c r="L140" s="36"/>
      <c r="M140" s="36"/>
      <c r="N140" s="13"/>
      <c r="O140" s="202"/>
      <c r="P140" s="36"/>
      <c r="Q140" s="52"/>
      <c r="R140" s="52"/>
      <c r="S140" s="52"/>
      <c r="U140" s="202"/>
      <c r="V140" s="202"/>
      <c r="W140" s="202"/>
      <c r="X140" s="202"/>
      <c r="Y140" s="13"/>
      <c r="Z140" s="36"/>
      <c r="AA140" s="13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289"/>
      <c r="AO140" s="289"/>
      <c r="AP140" s="289"/>
      <c r="AQ140" s="36"/>
      <c r="AR140" s="283"/>
      <c r="AS140" s="13"/>
      <c r="AT140" s="13"/>
      <c r="AU140" s="32"/>
      <c r="AV140" s="277"/>
      <c r="AW140" s="277"/>
      <c r="AX140" s="277"/>
      <c r="AY140" s="280"/>
      <c r="AZ140" s="268"/>
      <c r="BA140" s="268"/>
      <c r="BB140" s="13"/>
      <c r="BC140" s="36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</row>
    <row r="141" spans="1:73">
      <c r="A141" s="13"/>
      <c r="B141" s="13"/>
      <c r="C141" s="13"/>
      <c r="D141" s="13"/>
      <c r="E141" s="13"/>
      <c r="F141" s="13"/>
      <c r="G141" s="36"/>
      <c r="H141" s="36"/>
      <c r="I141" s="36"/>
      <c r="J141" s="36"/>
      <c r="K141" s="36"/>
      <c r="L141" s="36"/>
      <c r="M141" s="36"/>
      <c r="N141" s="13"/>
      <c r="O141" s="202"/>
      <c r="P141" s="36"/>
      <c r="Q141" s="52"/>
      <c r="R141" s="52"/>
      <c r="S141" s="52"/>
      <c r="U141" s="202"/>
      <c r="V141" s="202"/>
      <c r="W141" s="202"/>
      <c r="X141" s="202"/>
      <c r="Y141" s="13"/>
      <c r="Z141" s="36"/>
      <c r="AA141" s="13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289"/>
      <c r="AO141" s="289"/>
      <c r="AP141" s="289"/>
      <c r="AQ141" s="36"/>
      <c r="AR141" s="283"/>
      <c r="AS141" s="13"/>
      <c r="AT141" s="13"/>
      <c r="AU141" s="32"/>
      <c r="AV141" s="277"/>
      <c r="AW141" s="277"/>
      <c r="AX141" s="277"/>
      <c r="AY141" s="280"/>
      <c r="AZ141" s="268"/>
      <c r="BA141" s="268"/>
      <c r="BB141" s="13"/>
      <c r="BC141" s="36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</row>
    <row r="142" spans="1:73">
      <c r="A142" s="13"/>
      <c r="B142" s="13"/>
      <c r="C142" s="13"/>
      <c r="D142" s="13"/>
      <c r="E142" s="13"/>
      <c r="F142" s="13"/>
      <c r="G142" s="36"/>
      <c r="H142" s="36"/>
      <c r="I142" s="36"/>
      <c r="J142" s="36"/>
      <c r="K142" s="36"/>
      <c r="L142" s="36"/>
      <c r="M142" s="36"/>
      <c r="N142" s="13"/>
      <c r="O142" s="202"/>
      <c r="P142" s="36"/>
      <c r="Q142" s="52"/>
      <c r="R142" s="52"/>
      <c r="S142" s="52"/>
      <c r="U142" s="202"/>
      <c r="V142" s="202"/>
      <c r="W142" s="202"/>
      <c r="X142" s="202"/>
      <c r="Y142" s="13"/>
      <c r="Z142" s="36"/>
      <c r="AA142" s="13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289"/>
      <c r="AO142" s="289"/>
      <c r="AP142" s="289"/>
      <c r="AQ142" s="36"/>
      <c r="AR142" s="283"/>
      <c r="AS142" s="13"/>
      <c r="AT142" s="13"/>
      <c r="AU142" s="32"/>
      <c r="AV142" s="277"/>
      <c r="AW142" s="277"/>
      <c r="AX142" s="277"/>
      <c r="AY142" s="280"/>
      <c r="AZ142" s="268"/>
      <c r="BA142" s="268"/>
      <c r="BB142" s="13"/>
      <c r="BC142" s="36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</row>
    <row r="143" spans="1:73">
      <c r="A143" s="13"/>
      <c r="B143" s="13"/>
      <c r="C143" s="13"/>
      <c r="D143" s="13"/>
      <c r="E143" s="13"/>
      <c r="F143" s="13"/>
      <c r="G143" s="36"/>
      <c r="H143" s="36"/>
      <c r="I143" s="36"/>
      <c r="J143" s="36"/>
      <c r="K143" s="36"/>
      <c r="L143" s="36"/>
      <c r="M143" s="36"/>
      <c r="N143" s="13"/>
      <c r="O143" s="202"/>
      <c r="P143" s="36"/>
      <c r="Q143" s="52"/>
      <c r="R143" s="52"/>
      <c r="S143" s="52"/>
      <c r="U143" s="202"/>
      <c r="V143" s="202"/>
      <c r="W143" s="202"/>
      <c r="X143" s="202"/>
      <c r="Y143" s="13"/>
      <c r="Z143" s="36"/>
      <c r="AA143" s="13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289"/>
      <c r="AO143" s="289"/>
      <c r="AP143" s="289"/>
      <c r="AQ143" s="36"/>
      <c r="AR143" s="283"/>
      <c r="AS143" s="13"/>
      <c r="AT143" s="13"/>
      <c r="AU143" s="32"/>
      <c r="AV143" s="277"/>
      <c r="AW143" s="277"/>
      <c r="AX143" s="277"/>
      <c r="AY143" s="280"/>
      <c r="AZ143" s="268"/>
      <c r="BA143" s="268"/>
      <c r="BB143" s="13"/>
      <c r="BC143" s="36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</row>
    <row r="144" spans="1:73">
      <c r="A144" s="13"/>
      <c r="B144" s="13"/>
      <c r="C144" s="13"/>
      <c r="D144" s="13"/>
      <c r="E144" s="13"/>
      <c r="F144" s="13"/>
      <c r="G144" s="36"/>
      <c r="H144" s="36"/>
      <c r="I144" s="36"/>
      <c r="J144" s="36"/>
      <c r="K144" s="36"/>
      <c r="L144" s="36"/>
      <c r="M144" s="36"/>
      <c r="N144" s="13"/>
      <c r="O144" s="202"/>
      <c r="P144" s="36"/>
      <c r="Q144" s="52"/>
      <c r="R144" s="52"/>
      <c r="S144" s="52"/>
      <c r="U144" s="202"/>
      <c r="V144" s="202"/>
      <c r="W144" s="202"/>
      <c r="X144" s="202"/>
      <c r="Y144" s="13"/>
      <c r="Z144" s="36"/>
      <c r="AA144" s="13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289"/>
      <c r="AO144" s="289"/>
      <c r="AP144" s="289"/>
      <c r="AQ144" s="36"/>
      <c r="AR144" s="283"/>
      <c r="AS144" s="13"/>
      <c r="AT144" s="13"/>
      <c r="AU144" s="32"/>
      <c r="AV144" s="277"/>
      <c r="AW144" s="277"/>
      <c r="AX144" s="277"/>
      <c r="AY144" s="280"/>
      <c r="AZ144" s="268"/>
      <c r="BA144" s="268"/>
      <c r="BB144" s="13"/>
      <c r="BC144" s="36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</row>
    <row r="145" spans="1:73">
      <c r="A145" s="13"/>
      <c r="B145" s="13"/>
      <c r="C145" s="13"/>
      <c r="D145" s="13"/>
      <c r="E145" s="13"/>
      <c r="F145" s="13"/>
      <c r="G145" s="36"/>
      <c r="H145" s="36"/>
      <c r="I145" s="36"/>
      <c r="J145" s="36"/>
      <c r="K145" s="36"/>
      <c r="L145" s="36"/>
      <c r="M145" s="36"/>
      <c r="N145" s="13"/>
      <c r="O145" s="202"/>
      <c r="P145" s="36"/>
      <c r="Q145" s="52"/>
      <c r="R145" s="52"/>
      <c r="S145" s="52"/>
      <c r="U145" s="202"/>
      <c r="V145" s="202"/>
      <c r="W145" s="202"/>
      <c r="X145" s="202"/>
      <c r="Y145" s="13"/>
      <c r="Z145" s="36"/>
      <c r="AA145" s="13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289"/>
      <c r="AO145" s="289"/>
      <c r="AP145" s="289"/>
      <c r="AQ145" s="36"/>
      <c r="AR145" s="283"/>
      <c r="AS145" s="13"/>
      <c r="AT145" s="13"/>
      <c r="AU145" s="32"/>
      <c r="AV145" s="277"/>
      <c r="AW145" s="277"/>
      <c r="AX145" s="277"/>
      <c r="AY145" s="280"/>
      <c r="AZ145" s="268"/>
      <c r="BA145" s="268"/>
      <c r="BB145" s="13"/>
      <c r="BC145" s="36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</row>
    <row r="146" spans="1:73">
      <c r="A146" s="13"/>
      <c r="B146" s="13"/>
      <c r="C146" s="13"/>
      <c r="D146" s="13"/>
      <c r="E146" s="13"/>
      <c r="F146" s="13"/>
      <c r="G146" s="36"/>
      <c r="H146" s="36"/>
      <c r="I146" s="36"/>
      <c r="J146" s="36"/>
      <c r="K146" s="36"/>
      <c r="L146" s="36"/>
      <c r="M146" s="36"/>
      <c r="N146" s="13"/>
      <c r="O146" s="202"/>
      <c r="P146" s="36"/>
      <c r="Q146" s="52"/>
      <c r="R146" s="52"/>
      <c r="S146" s="52"/>
      <c r="U146" s="202"/>
      <c r="V146" s="202"/>
      <c r="W146" s="202"/>
      <c r="X146" s="202"/>
      <c r="Y146" s="13"/>
      <c r="Z146" s="36"/>
      <c r="AA146" s="13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289"/>
      <c r="AO146" s="289"/>
      <c r="AP146" s="289"/>
      <c r="AQ146" s="36"/>
      <c r="AR146" s="283"/>
      <c r="AS146" s="13"/>
      <c r="AT146" s="13"/>
      <c r="AU146" s="32"/>
      <c r="AV146" s="277"/>
      <c r="AW146" s="277"/>
      <c r="AX146" s="277"/>
      <c r="AY146" s="280"/>
      <c r="AZ146" s="268"/>
      <c r="BA146" s="268"/>
      <c r="BB146" s="13"/>
      <c r="BC146" s="36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</row>
    <row r="147" spans="1:73">
      <c r="A147" s="13"/>
      <c r="B147" s="13"/>
      <c r="C147" s="13"/>
      <c r="D147" s="13"/>
      <c r="E147" s="13"/>
      <c r="F147" s="13"/>
      <c r="G147" s="36"/>
      <c r="H147" s="36"/>
      <c r="I147" s="36"/>
      <c r="J147" s="36"/>
      <c r="K147" s="36"/>
      <c r="L147" s="36"/>
      <c r="M147" s="36"/>
      <c r="N147" s="13"/>
      <c r="O147" s="202"/>
      <c r="P147" s="36"/>
      <c r="Q147" s="52"/>
      <c r="R147" s="52"/>
      <c r="S147" s="52"/>
      <c r="U147" s="202"/>
      <c r="V147" s="202"/>
      <c r="W147" s="202"/>
      <c r="X147" s="202"/>
      <c r="Y147" s="13"/>
      <c r="Z147" s="36"/>
      <c r="AA147" s="13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289"/>
      <c r="AO147" s="289"/>
      <c r="AP147" s="289"/>
      <c r="AQ147" s="36"/>
      <c r="AR147" s="283"/>
      <c r="AS147" s="13"/>
      <c r="AT147" s="13"/>
      <c r="AU147" s="32"/>
      <c r="AV147" s="277"/>
      <c r="AW147" s="277"/>
      <c r="AX147" s="277"/>
      <c r="AY147" s="280"/>
      <c r="AZ147" s="268"/>
      <c r="BA147" s="268"/>
      <c r="BB147" s="13"/>
      <c r="BC147" s="36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</row>
    <row r="148" spans="1:73">
      <c r="A148" s="13"/>
      <c r="B148" s="13"/>
      <c r="C148" s="13"/>
      <c r="D148" s="13"/>
      <c r="E148" s="13"/>
      <c r="F148" s="13"/>
      <c r="G148" s="36"/>
      <c r="H148" s="36"/>
      <c r="I148" s="36"/>
      <c r="J148" s="36"/>
      <c r="K148" s="36"/>
      <c r="L148" s="36"/>
      <c r="M148" s="36"/>
      <c r="N148" s="13"/>
      <c r="O148" s="202"/>
      <c r="P148" s="36"/>
      <c r="Q148" s="52"/>
      <c r="R148" s="52"/>
      <c r="S148" s="52"/>
      <c r="U148" s="202"/>
      <c r="V148" s="202"/>
      <c r="W148" s="202"/>
      <c r="X148" s="202"/>
      <c r="Y148" s="13"/>
      <c r="Z148" s="36"/>
      <c r="AA148" s="13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289"/>
      <c r="AO148" s="289"/>
      <c r="AP148" s="289"/>
      <c r="AQ148" s="36"/>
      <c r="AR148" s="283"/>
      <c r="AS148" s="13"/>
      <c r="AT148" s="13"/>
      <c r="AU148" s="32"/>
      <c r="AV148" s="277"/>
      <c r="AW148" s="277"/>
      <c r="AX148" s="277"/>
      <c r="AY148" s="280"/>
      <c r="AZ148" s="268"/>
      <c r="BA148" s="268"/>
      <c r="BB148" s="13"/>
      <c r="BC148" s="36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</row>
    <row r="149" spans="1:73">
      <c r="A149" s="13"/>
      <c r="B149" s="13"/>
      <c r="C149" s="13"/>
      <c r="D149" s="13"/>
      <c r="E149" s="13"/>
      <c r="F149" s="13"/>
      <c r="G149" s="36"/>
      <c r="H149" s="36"/>
      <c r="I149" s="36"/>
      <c r="J149" s="36"/>
      <c r="K149" s="36"/>
      <c r="L149" s="36"/>
      <c r="M149" s="36"/>
      <c r="N149" s="13"/>
      <c r="O149" s="202"/>
      <c r="P149" s="36"/>
      <c r="Q149" s="52"/>
      <c r="R149" s="52"/>
      <c r="S149" s="52"/>
      <c r="U149" s="202"/>
      <c r="V149" s="202"/>
      <c r="W149" s="202"/>
      <c r="X149" s="202"/>
      <c r="Y149" s="13"/>
      <c r="Z149" s="36"/>
      <c r="AA149" s="13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289"/>
      <c r="AO149" s="289"/>
      <c r="AP149" s="289"/>
      <c r="AQ149" s="36"/>
      <c r="AR149" s="283"/>
      <c r="AS149" s="13"/>
      <c r="AT149" s="13"/>
      <c r="AU149" s="32"/>
      <c r="AV149" s="277"/>
      <c r="AW149" s="277"/>
      <c r="AX149" s="277"/>
      <c r="AY149" s="280"/>
      <c r="AZ149" s="268"/>
      <c r="BA149" s="268"/>
      <c r="BB149" s="13"/>
      <c r="BC149" s="36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</row>
    <row r="150" spans="1:73">
      <c r="A150" s="13"/>
      <c r="B150" s="13"/>
      <c r="C150" s="13"/>
      <c r="D150" s="13"/>
      <c r="E150" s="13"/>
      <c r="F150" s="13"/>
      <c r="G150" s="36"/>
      <c r="H150" s="36"/>
      <c r="I150" s="36"/>
      <c r="J150" s="36"/>
      <c r="K150" s="36"/>
      <c r="L150" s="36"/>
      <c r="M150" s="36"/>
      <c r="N150" s="13"/>
      <c r="O150" s="202"/>
      <c r="P150" s="36"/>
      <c r="Q150" s="52"/>
      <c r="R150" s="52"/>
      <c r="S150" s="52"/>
      <c r="U150" s="202"/>
      <c r="V150" s="202"/>
      <c r="W150" s="202"/>
      <c r="X150" s="202"/>
      <c r="Y150" s="13"/>
      <c r="Z150" s="36"/>
      <c r="AA150" s="13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289"/>
      <c r="AO150" s="289"/>
      <c r="AP150" s="289"/>
      <c r="AQ150" s="36"/>
      <c r="AR150" s="283"/>
      <c r="AS150" s="13"/>
      <c r="AT150" s="13"/>
      <c r="AU150" s="32"/>
      <c r="AV150" s="277"/>
      <c r="AW150" s="277"/>
      <c r="AX150" s="277"/>
      <c r="AY150" s="280"/>
      <c r="AZ150" s="268"/>
      <c r="BA150" s="268"/>
      <c r="BB150" s="13"/>
      <c r="BC150" s="36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</row>
    <row r="151" spans="1:73">
      <c r="A151" s="13"/>
      <c r="B151" s="13"/>
      <c r="C151" s="13"/>
      <c r="D151" s="13"/>
      <c r="E151" s="13"/>
      <c r="F151" s="13"/>
      <c r="G151" s="36"/>
      <c r="H151" s="36"/>
      <c r="I151" s="36"/>
      <c r="J151" s="36"/>
      <c r="K151" s="36"/>
      <c r="L151" s="36"/>
      <c r="M151" s="36"/>
      <c r="N151" s="13"/>
      <c r="O151" s="202"/>
      <c r="P151" s="36"/>
      <c r="Q151" s="52"/>
      <c r="R151" s="52"/>
      <c r="S151" s="52"/>
      <c r="U151" s="202"/>
      <c r="V151" s="202"/>
      <c r="W151" s="202"/>
      <c r="X151" s="202"/>
      <c r="Y151" s="13"/>
      <c r="Z151" s="36"/>
      <c r="AA151" s="13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289"/>
      <c r="AO151" s="289"/>
      <c r="AP151" s="289"/>
      <c r="AQ151" s="36"/>
      <c r="AR151" s="283"/>
      <c r="AS151" s="13"/>
      <c r="AT151" s="13"/>
      <c r="AU151" s="32"/>
      <c r="AV151" s="277"/>
      <c r="AW151" s="277"/>
      <c r="AX151" s="277"/>
      <c r="AY151" s="280"/>
      <c r="AZ151" s="268"/>
      <c r="BA151" s="268"/>
      <c r="BB151" s="13"/>
      <c r="BC151" s="36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</row>
    <row r="152" spans="1:73">
      <c r="A152" s="13"/>
      <c r="B152" s="13"/>
      <c r="C152" s="13"/>
      <c r="D152" s="13"/>
      <c r="E152" s="13"/>
      <c r="F152" s="13"/>
      <c r="G152" s="36"/>
      <c r="H152" s="36"/>
      <c r="I152" s="36"/>
      <c r="J152" s="36"/>
      <c r="K152" s="36"/>
      <c r="L152" s="36"/>
      <c r="M152" s="36"/>
      <c r="N152" s="13"/>
      <c r="O152" s="202"/>
      <c r="P152" s="36"/>
      <c r="Q152" s="52"/>
      <c r="R152" s="52"/>
      <c r="S152" s="52"/>
      <c r="U152" s="202"/>
      <c r="V152" s="202"/>
      <c r="W152" s="202"/>
      <c r="X152" s="202"/>
      <c r="Y152" s="13"/>
      <c r="Z152" s="36"/>
      <c r="AA152" s="13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289"/>
      <c r="AO152" s="289"/>
      <c r="AP152" s="289"/>
      <c r="AQ152" s="36"/>
      <c r="AR152" s="283"/>
      <c r="AS152" s="13"/>
      <c r="AT152" s="13"/>
      <c r="AU152" s="32"/>
      <c r="AV152" s="277"/>
      <c r="AW152" s="277"/>
      <c r="AX152" s="277"/>
      <c r="AY152" s="280"/>
      <c r="AZ152" s="268"/>
      <c r="BA152" s="268"/>
      <c r="BB152" s="13"/>
      <c r="BC152" s="36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</row>
    <row r="153" spans="1:73">
      <c r="A153" s="13"/>
      <c r="B153" s="13"/>
      <c r="C153" s="13"/>
      <c r="D153" s="13"/>
      <c r="E153" s="13"/>
      <c r="F153" s="13"/>
      <c r="G153" s="36"/>
      <c r="H153" s="36"/>
      <c r="I153" s="36"/>
      <c r="J153" s="36"/>
      <c r="K153" s="36"/>
      <c r="L153" s="36"/>
      <c r="M153" s="36"/>
      <c r="N153" s="13"/>
      <c r="O153" s="202"/>
      <c r="P153" s="36"/>
      <c r="Q153" s="52"/>
      <c r="R153" s="52"/>
      <c r="S153" s="52"/>
      <c r="U153" s="202"/>
      <c r="V153" s="202"/>
      <c r="W153" s="202"/>
      <c r="X153" s="202"/>
      <c r="Y153" s="13"/>
      <c r="Z153" s="36"/>
      <c r="AA153" s="13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289"/>
      <c r="AO153" s="289"/>
      <c r="AP153" s="289"/>
      <c r="AQ153" s="36"/>
      <c r="AR153" s="283"/>
      <c r="AS153" s="13"/>
      <c r="AT153" s="13"/>
      <c r="AU153" s="32"/>
      <c r="AV153" s="277"/>
      <c r="AW153" s="277"/>
      <c r="AX153" s="277"/>
      <c r="AY153" s="280"/>
      <c r="AZ153" s="268"/>
      <c r="BA153" s="268"/>
      <c r="BB153" s="13"/>
      <c r="BC153" s="36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</row>
    <row r="154" spans="1:73">
      <c r="A154" s="13"/>
      <c r="B154" s="13"/>
      <c r="C154" s="13"/>
      <c r="D154" s="13"/>
      <c r="E154" s="13"/>
      <c r="F154" s="13"/>
      <c r="G154" s="36"/>
      <c r="H154" s="36"/>
      <c r="I154" s="36"/>
      <c r="J154" s="36"/>
      <c r="K154" s="36"/>
      <c r="L154" s="36"/>
      <c r="M154" s="36"/>
      <c r="N154" s="13"/>
      <c r="O154" s="202"/>
      <c r="P154" s="36"/>
      <c r="Q154" s="52"/>
      <c r="R154" s="52"/>
      <c r="S154" s="52"/>
      <c r="U154" s="202"/>
      <c r="V154" s="202"/>
      <c r="W154" s="202"/>
      <c r="X154" s="202"/>
      <c r="Y154" s="13"/>
      <c r="Z154" s="36"/>
      <c r="AA154" s="13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289"/>
      <c r="AO154" s="289"/>
      <c r="AP154" s="289"/>
      <c r="AQ154" s="36"/>
      <c r="AR154" s="283"/>
      <c r="AS154" s="13"/>
      <c r="AT154" s="13"/>
      <c r="AU154" s="32"/>
      <c r="AV154" s="277"/>
      <c r="AW154" s="277"/>
      <c r="AX154" s="277"/>
      <c r="AY154" s="280"/>
      <c r="AZ154" s="268"/>
      <c r="BA154" s="268"/>
      <c r="BB154" s="13"/>
      <c r="BC154" s="36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</row>
    <row r="155" spans="1:73">
      <c r="A155" s="13"/>
      <c r="B155" s="13"/>
      <c r="C155" s="13"/>
      <c r="D155" s="13"/>
      <c r="E155" s="13"/>
      <c r="F155" s="13"/>
      <c r="G155" s="36"/>
      <c r="H155" s="36"/>
      <c r="I155" s="36"/>
      <c r="J155" s="36"/>
      <c r="K155" s="36"/>
      <c r="L155" s="36"/>
      <c r="M155" s="36"/>
      <c r="N155" s="13"/>
      <c r="O155" s="202"/>
      <c r="P155" s="36"/>
      <c r="Q155" s="52"/>
      <c r="R155" s="52"/>
      <c r="S155" s="52"/>
      <c r="U155" s="202"/>
      <c r="V155" s="202"/>
      <c r="W155" s="202"/>
      <c r="X155" s="202"/>
      <c r="Y155" s="13"/>
      <c r="Z155" s="36"/>
      <c r="AA155" s="13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289"/>
      <c r="AO155" s="289"/>
      <c r="AP155" s="289"/>
      <c r="AQ155" s="36"/>
      <c r="AR155" s="283"/>
      <c r="AS155" s="13"/>
      <c r="AT155" s="13"/>
      <c r="AU155" s="32"/>
      <c r="AV155" s="277"/>
      <c r="AW155" s="277"/>
      <c r="AX155" s="277"/>
      <c r="AY155" s="280"/>
      <c r="AZ155" s="268"/>
      <c r="BA155" s="268"/>
      <c r="BB155" s="13"/>
      <c r="BC155" s="36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</row>
    <row r="156" spans="1:73">
      <c r="A156" s="13"/>
      <c r="B156" s="13"/>
      <c r="C156" s="13"/>
      <c r="D156" s="13"/>
      <c r="E156" s="13"/>
      <c r="F156" s="13"/>
      <c r="G156" s="36"/>
      <c r="H156" s="36"/>
      <c r="I156" s="36"/>
      <c r="J156" s="36"/>
      <c r="K156" s="36"/>
      <c r="L156" s="36"/>
      <c r="M156" s="36"/>
      <c r="N156" s="13"/>
      <c r="O156" s="202"/>
      <c r="P156" s="36"/>
      <c r="Q156" s="52"/>
      <c r="R156" s="52"/>
      <c r="S156" s="52"/>
      <c r="U156" s="202"/>
      <c r="V156" s="202"/>
      <c r="W156" s="202"/>
      <c r="X156" s="202"/>
      <c r="Y156" s="13"/>
      <c r="Z156" s="36"/>
      <c r="AA156" s="13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289"/>
      <c r="AO156" s="289"/>
      <c r="AP156" s="289"/>
      <c r="AQ156" s="36"/>
      <c r="AR156" s="283"/>
      <c r="AS156" s="13"/>
      <c r="AT156" s="13"/>
      <c r="AU156" s="32"/>
      <c r="AV156" s="277"/>
      <c r="AW156" s="277"/>
      <c r="AX156" s="277"/>
      <c r="AY156" s="280"/>
      <c r="AZ156" s="268"/>
      <c r="BA156" s="268"/>
      <c r="BB156" s="13"/>
      <c r="BC156" s="36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</row>
    <row r="157" spans="1:73">
      <c r="A157" s="13"/>
      <c r="B157" s="13"/>
      <c r="C157" s="13"/>
      <c r="D157" s="13"/>
      <c r="E157" s="13"/>
      <c r="F157" s="13"/>
      <c r="G157" s="36"/>
      <c r="H157" s="36"/>
      <c r="I157" s="36"/>
      <c r="J157" s="36"/>
      <c r="K157" s="36"/>
      <c r="L157" s="36"/>
      <c r="M157" s="36"/>
      <c r="N157" s="13"/>
      <c r="O157" s="202"/>
      <c r="P157" s="36"/>
      <c r="Q157" s="52"/>
      <c r="R157" s="52"/>
      <c r="S157" s="52"/>
      <c r="U157" s="202"/>
      <c r="V157" s="202"/>
      <c r="W157" s="202"/>
      <c r="X157" s="202"/>
      <c r="Y157" s="13"/>
      <c r="Z157" s="36"/>
      <c r="AA157" s="13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289"/>
      <c r="AO157" s="289"/>
      <c r="AP157" s="289"/>
      <c r="AQ157" s="36"/>
      <c r="AR157" s="283"/>
      <c r="AS157" s="13"/>
      <c r="AT157" s="13"/>
      <c r="AU157" s="32"/>
      <c r="AV157" s="277"/>
      <c r="AW157" s="277"/>
      <c r="AX157" s="277"/>
      <c r="AY157" s="280"/>
      <c r="AZ157" s="268"/>
      <c r="BA157" s="268"/>
      <c r="BB157" s="13"/>
      <c r="BC157" s="36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</row>
    <row r="158" spans="1:73">
      <c r="A158" s="13"/>
      <c r="B158" s="13"/>
      <c r="C158" s="13"/>
      <c r="D158" s="13"/>
      <c r="E158" s="13"/>
      <c r="F158" s="13"/>
      <c r="G158" s="36"/>
      <c r="H158" s="36"/>
      <c r="I158" s="36"/>
      <c r="J158" s="36"/>
      <c r="K158" s="36"/>
      <c r="L158" s="36"/>
      <c r="M158" s="36"/>
      <c r="N158" s="13"/>
      <c r="O158" s="202"/>
      <c r="P158" s="36"/>
      <c r="Q158" s="52"/>
      <c r="R158" s="52"/>
      <c r="S158" s="52"/>
      <c r="U158" s="202"/>
      <c r="V158" s="202"/>
      <c r="W158" s="202"/>
      <c r="X158" s="202"/>
      <c r="Y158" s="13"/>
      <c r="Z158" s="36"/>
      <c r="AA158" s="13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289"/>
      <c r="AO158" s="289"/>
      <c r="AP158" s="289"/>
      <c r="AQ158" s="36"/>
      <c r="AR158" s="283"/>
      <c r="AS158" s="13"/>
      <c r="AT158" s="13"/>
      <c r="AU158" s="32"/>
      <c r="AV158" s="277"/>
      <c r="AW158" s="277"/>
      <c r="AX158" s="277"/>
      <c r="AY158" s="280"/>
      <c r="AZ158" s="268"/>
      <c r="BA158" s="268"/>
      <c r="BB158" s="13"/>
      <c r="BC158" s="36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</row>
    <row r="159" spans="1:73">
      <c r="A159" s="13"/>
      <c r="B159" s="13"/>
      <c r="C159" s="13"/>
      <c r="D159" s="13"/>
      <c r="E159" s="13"/>
      <c r="F159" s="13"/>
      <c r="G159" s="36"/>
      <c r="H159" s="36"/>
      <c r="I159" s="36"/>
      <c r="J159" s="36"/>
      <c r="K159" s="36"/>
      <c r="L159" s="36"/>
      <c r="M159" s="36"/>
      <c r="N159" s="13"/>
      <c r="O159" s="202"/>
      <c r="P159" s="36"/>
      <c r="Q159" s="52"/>
      <c r="R159" s="52"/>
      <c r="S159" s="52"/>
      <c r="U159" s="202"/>
      <c r="V159" s="202"/>
      <c r="W159" s="202"/>
      <c r="X159" s="202"/>
      <c r="Y159" s="13"/>
      <c r="Z159" s="36"/>
      <c r="AA159" s="13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289"/>
      <c r="AO159" s="289"/>
      <c r="AP159" s="289"/>
      <c r="AQ159" s="36"/>
      <c r="AR159" s="283"/>
      <c r="AS159" s="13"/>
      <c r="AT159" s="13"/>
      <c r="AU159" s="32"/>
      <c r="AV159" s="277"/>
      <c r="AW159" s="277"/>
      <c r="AX159" s="277"/>
      <c r="AY159" s="280"/>
      <c r="AZ159" s="268"/>
      <c r="BA159" s="268"/>
      <c r="BB159" s="13"/>
      <c r="BC159" s="36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</row>
    <row r="160" spans="1:73">
      <c r="A160" s="13"/>
      <c r="B160" s="13"/>
      <c r="C160" s="13"/>
      <c r="D160" s="13"/>
      <c r="E160" s="13"/>
      <c r="F160" s="13"/>
      <c r="G160" s="36"/>
      <c r="H160" s="36"/>
      <c r="I160" s="36"/>
      <c r="J160" s="36"/>
      <c r="K160" s="36"/>
      <c r="L160" s="36"/>
      <c r="M160" s="36"/>
      <c r="N160" s="13"/>
      <c r="O160" s="202"/>
      <c r="P160" s="36"/>
      <c r="Q160" s="52"/>
      <c r="R160" s="52"/>
      <c r="S160" s="52"/>
      <c r="U160" s="202"/>
      <c r="V160" s="202"/>
      <c r="W160" s="202"/>
      <c r="X160" s="202"/>
      <c r="Y160" s="13"/>
      <c r="Z160" s="36"/>
      <c r="AA160" s="13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289"/>
      <c r="AO160" s="289"/>
      <c r="AP160" s="289"/>
      <c r="AQ160" s="36"/>
      <c r="AR160" s="283"/>
      <c r="AS160" s="13"/>
      <c r="AT160" s="13"/>
      <c r="AU160" s="32"/>
      <c r="AV160" s="277"/>
      <c r="AW160" s="277"/>
      <c r="AX160" s="277"/>
      <c r="AY160" s="280"/>
      <c r="AZ160" s="268"/>
      <c r="BA160" s="268"/>
      <c r="BB160" s="13"/>
      <c r="BC160" s="36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</row>
    <row r="161" spans="1:73">
      <c r="A161" s="13"/>
      <c r="B161" s="13"/>
      <c r="C161" s="13"/>
      <c r="D161" s="13"/>
      <c r="E161" s="13"/>
      <c r="F161" s="13"/>
      <c r="G161" s="36"/>
      <c r="H161" s="36"/>
      <c r="I161" s="36"/>
      <c r="J161" s="36"/>
      <c r="K161" s="36"/>
      <c r="L161" s="36"/>
      <c r="M161" s="36"/>
      <c r="N161" s="13"/>
      <c r="O161" s="202"/>
      <c r="P161" s="36"/>
      <c r="Q161" s="52"/>
      <c r="R161" s="52"/>
      <c r="S161" s="52"/>
      <c r="U161" s="202"/>
      <c r="V161" s="202"/>
      <c r="W161" s="202"/>
      <c r="X161" s="202"/>
      <c r="Y161" s="13"/>
      <c r="Z161" s="36"/>
      <c r="AA161" s="13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289"/>
      <c r="AO161" s="289"/>
      <c r="AP161" s="289"/>
      <c r="AQ161" s="36"/>
      <c r="AR161" s="283"/>
      <c r="AS161" s="13"/>
      <c r="AT161" s="13"/>
      <c r="AU161" s="32"/>
      <c r="AV161" s="277"/>
      <c r="AW161" s="277"/>
      <c r="AX161" s="277"/>
      <c r="AY161" s="280"/>
      <c r="AZ161" s="268"/>
      <c r="BA161" s="268"/>
      <c r="BB161" s="13"/>
      <c r="BC161" s="36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</row>
    <row r="162" spans="1:73">
      <c r="A162" s="13"/>
      <c r="B162" s="13"/>
      <c r="C162" s="13"/>
      <c r="D162" s="13"/>
      <c r="E162" s="13"/>
      <c r="F162" s="13"/>
      <c r="G162" s="36"/>
      <c r="H162" s="36"/>
      <c r="I162" s="36"/>
      <c r="J162" s="36"/>
      <c r="K162" s="36"/>
      <c r="L162" s="36"/>
      <c r="M162" s="36"/>
      <c r="N162" s="13"/>
      <c r="O162" s="202"/>
      <c r="P162" s="36"/>
      <c r="Q162" s="52"/>
      <c r="R162" s="52"/>
      <c r="S162" s="52"/>
      <c r="U162" s="202"/>
      <c r="V162" s="202"/>
      <c r="W162" s="202"/>
      <c r="X162" s="202"/>
      <c r="Y162" s="13"/>
      <c r="Z162" s="36"/>
      <c r="AA162" s="13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289"/>
      <c r="AO162" s="289"/>
      <c r="AP162" s="289"/>
      <c r="AQ162" s="36"/>
      <c r="AR162" s="283"/>
      <c r="AS162" s="13"/>
      <c r="AT162" s="13"/>
      <c r="AU162" s="32"/>
      <c r="AV162" s="277"/>
      <c r="AW162" s="277"/>
      <c r="AX162" s="277"/>
      <c r="AY162" s="280"/>
      <c r="AZ162" s="268"/>
      <c r="BA162" s="268"/>
      <c r="BB162" s="13"/>
      <c r="BC162" s="36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</row>
    <row r="163" spans="1:73">
      <c r="A163" s="13"/>
      <c r="B163" s="13"/>
      <c r="C163" s="13"/>
      <c r="D163" s="13"/>
      <c r="E163" s="13"/>
      <c r="F163" s="13"/>
      <c r="G163" s="36"/>
      <c r="H163" s="36"/>
      <c r="I163" s="36"/>
      <c r="J163" s="36"/>
      <c r="K163" s="36"/>
      <c r="L163" s="36"/>
      <c r="M163" s="36"/>
      <c r="N163" s="13"/>
      <c r="O163" s="202"/>
      <c r="P163" s="36"/>
      <c r="Q163" s="52"/>
      <c r="R163" s="52"/>
      <c r="S163" s="52"/>
      <c r="U163" s="202"/>
      <c r="V163" s="202"/>
      <c r="W163" s="202"/>
      <c r="X163" s="202"/>
      <c r="Y163" s="13"/>
      <c r="Z163" s="36"/>
      <c r="AA163" s="13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289"/>
      <c r="AO163" s="289"/>
      <c r="AP163" s="289"/>
      <c r="AQ163" s="36"/>
      <c r="AR163" s="283"/>
      <c r="AS163" s="13"/>
      <c r="AT163" s="13"/>
      <c r="AU163" s="32"/>
      <c r="AV163" s="277"/>
      <c r="AW163" s="277"/>
      <c r="AX163" s="277"/>
      <c r="AY163" s="280"/>
      <c r="AZ163" s="268"/>
      <c r="BA163" s="268"/>
      <c r="BB163" s="13"/>
      <c r="BC163" s="36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</row>
    <row r="164" spans="1:73">
      <c r="A164" s="13"/>
      <c r="B164" s="13"/>
      <c r="C164" s="13"/>
      <c r="D164" s="13"/>
      <c r="E164" s="13"/>
      <c r="F164" s="13"/>
      <c r="G164" s="36"/>
      <c r="H164" s="36"/>
      <c r="I164" s="36"/>
      <c r="J164" s="36"/>
      <c r="K164" s="36"/>
      <c r="L164" s="36"/>
      <c r="M164" s="36"/>
      <c r="N164" s="13"/>
      <c r="O164" s="202"/>
      <c r="P164" s="36"/>
      <c r="Q164" s="52"/>
      <c r="R164" s="52"/>
      <c r="S164" s="52"/>
      <c r="U164" s="202"/>
      <c r="V164" s="202"/>
      <c r="W164" s="202"/>
      <c r="X164" s="202"/>
      <c r="Y164" s="13"/>
      <c r="Z164" s="36"/>
      <c r="AA164" s="13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289"/>
      <c r="AO164" s="289"/>
      <c r="AP164" s="289"/>
      <c r="AQ164" s="36"/>
      <c r="AR164" s="283"/>
      <c r="AS164" s="13"/>
      <c r="AT164" s="13"/>
      <c r="AU164" s="32"/>
      <c r="AV164" s="277"/>
      <c r="AW164" s="277"/>
      <c r="AX164" s="277"/>
      <c r="AY164" s="280"/>
      <c r="AZ164" s="268"/>
      <c r="BA164" s="268"/>
      <c r="BB164" s="13"/>
      <c r="BC164" s="36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</row>
    <row r="165" spans="1:73">
      <c r="A165" s="13"/>
      <c r="B165" s="13"/>
      <c r="C165" s="13"/>
      <c r="D165" s="13"/>
      <c r="E165" s="13"/>
      <c r="F165" s="13"/>
      <c r="G165" s="36"/>
      <c r="H165" s="36"/>
      <c r="I165" s="36"/>
      <c r="J165" s="36"/>
      <c r="K165" s="36"/>
      <c r="L165" s="36"/>
      <c r="M165" s="36"/>
      <c r="N165" s="13"/>
      <c r="O165" s="202"/>
      <c r="P165" s="36"/>
      <c r="Q165" s="52"/>
      <c r="R165" s="52"/>
      <c r="S165" s="52"/>
      <c r="U165" s="202"/>
      <c r="V165" s="202"/>
      <c r="W165" s="202"/>
      <c r="X165" s="202"/>
      <c r="Y165" s="13"/>
      <c r="Z165" s="36"/>
      <c r="AA165" s="13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289"/>
      <c r="AO165" s="289"/>
      <c r="AP165" s="289"/>
      <c r="AQ165" s="36"/>
      <c r="AR165" s="283"/>
      <c r="AS165" s="13"/>
      <c r="AT165" s="13"/>
      <c r="AU165" s="32"/>
      <c r="AV165" s="277"/>
      <c r="AW165" s="277"/>
      <c r="AX165" s="277"/>
      <c r="AY165" s="280"/>
      <c r="AZ165" s="268"/>
      <c r="BA165" s="268"/>
      <c r="BB165" s="13"/>
      <c r="BC165" s="36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</row>
    <row r="166" spans="1:73">
      <c r="A166" s="13"/>
      <c r="B166" s="13"/>
      <c r="C166" s="13"/>
      <c r="D166" s="13"/>
      <c r="E166" s="13"/>
      <c r="F166" s="13"/>
      <c r="G166" s="36"/>
      <c r="H166" s="36"/>
      <c r="I166" s="36"/>
      <c r="J166" s="36"/>
      <c r="K166" s="36"/>
      <c r="L166" s="36"/>
      <c r="M166" s="36"/>
      <c r="N166" s="13"/>
      <c r="O166" s="202"/>
      <c r="P166" s="36"/>
      <c r="Q166" s="52"/>
      <c r="R166" s="52"/>
      <c r="S166" s="52"/>
      <c r="U166" s="202"/>
      <c r="V166" s="202"/>
      <c r="W166" s="202"/>
      <c r="X166" s="202"/>
      <c r="Y166" s="13"/>
      <c r="Z166" s="36"/>
      <c r="AA166" s="13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289"/>
      <c r="AO166" s="289"/>
      <c r="AP166" s="289"/>
      <c r="AQ166" s="36"/>
      <c r="AR166" s="283"/>
      <c r="AS166" s="13"/>
      <c r="AT166" s="13"/>
      <c r="AU166" s="32"/>
      <c r="AV166" s="277"/>
      <c r="AW166" s="277"/>
      <c r="AX166" s="277"/>
      <c r="AY166" s="280"/>
      <c r="AZ166" s="268"/>
      <c r="BA166" s="268"/>
      <c r="BB166" s="13"/>
      <c r="BC166" s="36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</row>
    <row r="167" spans="1:73">
      <c r="A167" s="13"/>
      <c r="B167" s="13"/>
      <c r="C167" s="13"/>
      <c r="D167" s="13"/>
      <c r="E167" s="13"/>
      <c r="F167" s="13"/>
      <c r="G167" s="36"/>
      <c r="H167" s="36"/>
      <c r="I167" s="36"/>
      <c r="J167" s="36"/>
      <c r="K167" s="36"/>
      <c r="L167" s="36"/>
      <c r="M167" s="36"/>
      <c r="N167" s="13"/>
      <c r="O167" s="202"/>
      <c r="P167" s="36"/>
      <c r="Q167" s="52"/>
      <c r="R167" s="52"/>
      <c r="S167" s="52"/>
      <c r="U167" s="202"/>
      <c r="V167" s="202"/>
      <c r="W167" s="202"/>
      <c r="X167" s="202"/>
      <c r="Y167" s="13"/>
      <c r="Z167" s="36"/>
      <c r="AA167" s="13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289"/>
      <c r="AO167" s="289"/>
      <c r="AP167" s="289"/>
      <c r="AQ167" s="36"/>
      <c r="AR167" s="283"/>
      <c r="AS167" s="13"/>
      <c r="AT167" s="13"/>
      <c r="AU167" s="32"/>
      <c r="AV167" s="277"/>
      <c r="AW167" s="277"/>
      <c r="AX167" s="277"/>
      <c r="AY167" s="280"/>
      <c r="AZ167" s="268"/>
      <c r="BA167" s="268"/>
      <c r="BB167" s="13"/>
      <c r="BC167" s="36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</row>
    <row r="168" spans="1:73">
      <c r="A168" s="13"/>
      <c r="B168" s="13"/>
      <c r="C168" s="13"/>
      <c r="D168" s="13"/>
      <c r="E168" s="13"/>
      <c r="F168" s="13"/>
      <c r="G168" s="36"/>
      <c r="H168" s="36"/>
      <c r="I168" s="36"/>
      <c r="J168" s="36"/>
      <c r="K168" s="36"/>
      <c r="L168" s="36"/>
      <c r="M168" s="36"/>
      <c r="N168" s="13"/>
      <c r="O168" s="202"/>
      <c r="P168" s="36"/>
      <c r="Q168" s="52"/>
      <c r="R168" s="52"/>
      <c r="S168" s="52"/>
      <c r="U168" s="202"/>
      <c r="V168" s="202"/>
      <c r="W168" s="202"/>
      <c r="X168" s="202"/>
      <c r="Y168" s="13"/>
      <c r="Z168" s="36"/>
      <c r="AA168" s="13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289"/>
      <c r="AO168" s="289"/>
      <c r="AP168" s="289"/>
      <c r="AQ168" s="36"/>
      <c r="AR168" s="283"/>
      <c r="AS168" s="13"/>
      <c r="AT168" s="13"/>
      <c r="AU168" s="32"/>
      <c r="AV168" s="277"/>
      <c r="AW168" s="277"/>
      <c r="AX168" s="277"/>
      <c r="AY168" s="280"/>
      <c r="AZ168" s="268"/>
      <c r="BA168" s="268"/>
      <c r="BB168" s="13"/>
      <c r="BC168" s="36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</row>
    <row r="169" spans="1:73">
      <c r="A169" s="13"/>
      <c r="B169" s="13"/>
      <c r="C169" s="13"/>
      <c r="D169" s="13"/>
      <c r="E169" s="13"/>
      <c r="F169" s="13"/>
      <c r="G169" s="36"/>
      <c r="H169" s="36"/>
      <c r="I169" s="36"/>
      <c r="J169" s="36"/>
      <c r="K169" s="36"/>
      <c r="L169" s="36"/>
      <c r="M169" s="36"/>
      <c r="N169" s="13"/>
      <c r="O169" s="202"/>
      <c r="P169" s="36"/>
      <c r="Q169" s="52"/>
      <c r="R169" s="52"/>
      <c r="S169" s="52"/>
      <c r="U169" s="202"/>
      <c r="V169" s="202"/>
      <c r="W169" s="202"/>
      <c r="X169" s="202"/>
      <c r="Y169" s="13"/>
      <c r="Z169" s="36"/>
      <c r="AA169" s="13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289"/>
      <c r="AO169" s="289"/>
      <c r="AP169" s="289"/>
      <c r="AQ169" s="36"/>
      <c r="AR169" s="283"/>
      <c r="AS169" s="13"/>
      <c r="AT169" s="13"/>
      <c r="AU169" s="32"/>
      <c r="AV169" s="277"/>
      <c r="AW169" s="277"/>
      <c r="AX169" s="277"/>
      <c r="AY169" s="280"/>
      <c r="AZ169" s="268"/>
      <c r="BA169" s="268"/>
      <c r="BB169" s="13"/>
      <c r="BC169" s="36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</row>
    <row r="170" spans="1:73">
      <c r="A170" s="13"/>
      <c r="B170" s="13"/>
      <c r="C170" s="13"/>
      <c r="D170" s="13"/>
      <c r="E170" s="13"/>
      <c r="F170" s="13"/>
      <c r="G170" s="36"/>
      <c r="H170" s="36"/>
      <c r="I170" s="36"/>
      <c r="J170" s="36"/>
      <c r="K170" s="36"/>
      <c r="L170" s="36"/>
      <c r="M170" s="36"/>
      <c r="N170" s="13"/>
      <c r="O170" s="202"/>
      <c r="P170" s="36"/>
      <c r="Q170" s="52"/>
      <c r="R170" s="52"/>
      <c r="S170" s="52"/>
      <c r="U170" s="202"/>
      <c r="V170" s="202"/>
      <c r="W170" s="202"/>
      <c r="X170" s="202"/>
      <c r="Y170" s="13"/>
      <c r="Z170" s="36"/>
      <c r="AA170" s="13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289"/>
      <c r="AO170" s="289"/>
      <c r="AP170" s="289"/>
      <c r="AQ170" s="36"/>
      <c r="AR170" s="283"/>
      <c r="AS170" s="13"/>
      <c r="AT170" s="13"/>
      <c r="AU170" s="32"/>
      <c r="AV170" s="277"/>
      <c r="AW170" s="277"/>
      <c r="AX170" s="277"/>
      <c r="AY170" s="280"/>
      <c r="AZ170" s="268"/>
      <c r="BA170" s="268"/>
      <c r="BB170" s="13"/>
      <c r="BC170" s="36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</row>
    <row r="171" spans="1:73">
      <c r="A171" s="13"/>
      <c r="B171" s="13"/>
      <c r="C171" s="13"/>
      <c r="D171" s="13"/>
      <c r="E171" s="13"/>
      <c r="F171" s="13"/>
      <c r="G171" s="36"/>
      <c r="H171" s="36"/>
      <c r="I171" s="36"/>
      <c r="J171" s="36"/>
      <c r="K171" s="36"/>
      <c r="L171" s="36"/>
      <c r="M171" s="36"/>
      <c r="N171" s="13"/>
      <c r="O171" s="202"/>
      <c r="P171" s="36"/>
      <c r="Q171" s="52"/>
      <c r="R171" s="52"/>
      <c r="S171" s="52"/>
      <c r="U171" s="202"/>
      <c r="V171" s="202"/>
      <c r="W171" s="202"/>
      <c r="X171" s="202"/>
      <c r="Y171" s="13"/>
      <c r="Z171" s="36"/>
      <c r="AA171" s="13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289"/>
      <c r="AO171" s="289"/>
      <c r="AP171" s="289"/>
      <c r="AQ171" s="36"/>
      <c r="AR171" s="283"/>
      <c r="AS171" s="13"/>
      <c r="AT171" s="13"/>
      <c r="AU171" s="32"/>
      <c r="AV171" s="277"/>
      <c r="AW171" s="277"/>
      <c r="AX171" s="277"/>
      <c r="AY171" s="280"/>
      <c r="AZ171" s="268"/>
      <c r="BA171" s="268"/>
      <c r="BB171" s="13"/>
      <c r="BC171" s="36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</row>
    <row r="172" spans="1:73">
      <c r="A172" s="13"/>
      <c r="B172" s="13"/>
      <c r="C172" s="13"/>
      <c r="D172" s="13"/>
      <c r="E172" s="13"/>
      <c r="F172" s="13"/>
      <c r="G172" s="36"/>
      <c r="H172" s="36"/>
      <c r="I172" s="36"/>
      <c r="J172" s="36"/>
      <c r="K172" s="36"/>
      <c r="L172" s="36"/>
      <c r="M172" s="36"/>
      <c r="N172" s="13"/>
      <c r="O172" s="202"/>
      <c r="P172" s="36"/>
      <c r="Q172" s="52"/>
      <c r="R172" s="52"/>
      <c r="S172" s="52"/>
      <c r="U172" s="202"/>
      <c r="V172" s="202"/>
      <c r="W172" s="202"/>
      <c r="X172" s="202"/>
      <c r="Y172" s="13"/>
      <c r="Z172" s="36"/>
      <c r="AA172" s="13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289"/>
      <c r="AO172" s="289"/>
      <c r="AP172" s="289"/>
      <c r="AQ172" s="36"/>
      <c r="AR172" s="283"/>
      <c r="AS172" s="13"/>
      <c r="AT172" s="13"/>
      <c r="AU172" s="32"/>
      <c r="AV172" s="277"/>
      <c r="AW172" s="277"/>
      <c r="AX172" s="277"/>
      <c r="AY172" s="280"/>
      <c r="AZ172" s="268"/>
      <c r="BA172" s="268"/>
      <c r="BB172" s="13"/>
      <c r="BC172" s="36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</row>
    <row r="173" spans="1:73">
      <c r="A173" s="13"/>
      <c r="B173" s="13"/>
      <c r="C173" s="13"/>
      <c r="D173" s="13"/>
      <c r="E173" s="13"/>
      <c r="F173" s="13"/>
      <c r="G173" s="36"/>
      <c r="H173" s="36"/>
      <c r="I173" s="36"/>
      <c r="J173" s="36"/>
      <c r="K173" s="36"/>
      <c r="L173" s="36"/>
      <c r="M173" s="36"/>
      <c r="N173" s="13"/>
      <c r="O173" s="202"/>
      <c r="P173" s="36"/>
      <c r="Q173" s="52"/>
      <c r="R173" s="52"/>
      <c r="S173" s="52"/>
      <c r="U173" s="202"/>
      <c r="V173" s="202"/>
      <c r="W173" s="202"/>
      <c r="X173" s="202"/>
      <c r="Y173" s="13"/>
      <c r="Z173" s="36"/>
      <c r="AA173" s="13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289"/>
      <c r="AO173" s="289"/>
      <c r="AP173" s="289"/>
      <c r="AQ173" s="36"/>
      <c r="AR173" s="283"/>
      <c r="AS173" s="13"/>
      <c r="AT173" s="13"/>
      <c r="AU173" s="32"/>
      <c r="AV173" s="277"/>
      <c r="AW173" s="277"/>
      <c r="AX173" s="277"/>
      <c r="AY173" s="280"/>
      <c r="AZ173" s="268"/>
      <c r="BA173" s="268"/>
      <c r="BB173" s="13"/>
      <c r="BC173" s="36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</row>
    <row r="174" spans="1:73">
      <c r="A174" s="13"/>
      <c r="B174" s="13"/>
      <c r="C174" s="13"/>
      <c r="D174" s="13"/>
      <c r="E174" s="13"/>
      <c r="F174" s="13"/>
      <c r="G174" s="36"/>
      <c r="H174" s="36"/>
      <c r="I174" s="36"/>
      <c r="J174" s="36"/>
      <c r="K174" s="36"/>
      <c r="L174" s="36"/>
      <c r="M174" s="36"/>
      <c r="N174" s="13"/>
      <c r="O174" s="202"/>
      <c r="P174" s="36"/>
      <c r="Q174" s="52"/>
      <c r="R174" s="52"/>
      <c r="S174" s="52"/>
      <c r="U174" s="202"/>
      <c r="V174" s="202"/>
      <c r="W174" s="202"/>
      <c r="X174" s="202"/>
      <c r="Y174" s="13"/>
      <c r="Z174" s="36"/>
      <c r="AA174" s="13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289"/>
      <c r="AO174" s="289"/>
      <c r="AP174" s="289"/>
      <c r="AQ174" s="36"/>
      <c r="AR174" s="283"/>
      <c r="AS174" s="13"/>
      <c r="AT174" s="13"/>
      <c r="AU174" s="32"/>
      <c r="AV174" s="277"/>
      <c r="AW174" s="277"/>
      <c r="AX174" s="277"/>
      <c r="AY174" s="280"/>
      <c r="AZ174" s="268"/>
      <c r="BA174" s="268"/>
      <c r="BB174" s="13"/>
      <c r="BC174" s="36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</row>
    <row r="175" spans="1:73">
      <c r="A175" s="13"/>
      <c r="B175" s="13"/>
      <c r="C175" s="13"/>
      <c r="D175" s="13"/>
      <c r="E175" s="13"/>
      <c r="F175" s="13"/>
      <c r="G175" s="36"/>
      <c r="H175" s="36"/>
      <c r="I175" s="36"/>
      <c r="J175" s="36"/>
      <c r="K175" s="36"/>
      <c r="L175" s="36"/>
      <c r="M175" s="36"/>
      <c r="N175" s="13"/>
      <c r="O175" s="202"/>
      <c r="P175" s="36"/>
      <c r="Q175" s="52"/>
      <c r="R175" s="52"/>
      <c r="S175" s="52"/>
      <c r="U175" s="202"/>
      <c r="V175" s="202"/>
      <c r="W175" s="202"/>
      <c r="X175" s="202"/>
      <c r="Y175" s="13"/>
      <c r="Z175" s="36"/>
      <c r="AA175" s="13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289"/>
      <c r="AO175" s="289"/>
      <c r="AP175" s="289"/>
      <c r="AQ175" s="36"/>
      <c r="AR175" s="283"/>
      <c r="AS175" s="13"/>
      <c r="AT175" s="13"/>
      <c r="AU175" s="32"/>
      <c r="AV175" s="277"/>
      <c r="AW175" s="277"/>
      <c r="AX175" s="277"/>
      <c r="AY175" s="280"/>
      <c r="AZ175" s="268"/>
      <c r="BA175" s="268"/>
      <c r="BB175" s="13"/>
      <c r="BC175" s="36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</row>
    <row r="176" spans="1:73">
      <c r="A176" s="13"/>
      <c r="B176" s="13"/>
      <c r="C176" s="13"/>
      <c r="D176" s="13"/>
      <c r="E176" s="13"/>
      <c r="F176" s="13"/>
      <c r="G176" s="36"/>
      <c r="H176" s="36"/>
      <c r="I176" s="36"/>
      <c r="J176" s="36"/>
      <c r="K176" s="36"/>
      <c r="L176" s="36"/>
      <c r="M176" s="36"/>
      <c r="N176" s="13"/>
      <c r="O176" s="202"/>
      <c r="P176" s="36"/>
      <c r="Q176" s="52"/>
      <c r="R176" s="52"/>
      <c r="S176" s="52"/>
      <c r="U176" s="202"/>
      <c r="V176" s="202"/>
      <c r="W176" s="202"/>
      <c r="X176" s="202"/>
      <c r="Y176" s="13"/>
      <c r="Z176" s="36"/>
      <c r="AA176" s="13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289"/>
      <c r="AO176" s="289"/>
      <c r="AP176" s="289"/>
      <c r="AQ176" s="36"/>
      <c r="AR176" s="283"/>
      <c r="AS176" s="13"/>
      <c r="AT176" s="13"/>
      <c r="AU176" s="32"/>
      <c r="AV176" s="277"/>
      <c r="AW176" s="277"/>
      <c r="AX176" s="277"/>
      <c r="AY176" s="280"/>
      <c r="AZ176" s="268"/>
      <c r="BA176" s="268"/>
      <c r="BB176" s="13"/>
      <c r="BC176" s="36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</row>
    <row r="177" spans="1:73">
      <c r="A177" s="13"/>
      <c r="B177" s="13"/>
      <c r="C177" s="13"/>
      <c r="D177" s="13"/>
      <c r="E177" s="13"/>
      <c r="F177" s="13"/>
      <c r="G177" s="36"/>
      <c r="H177" s="36"/>
      <c r="I177" s="36"/>
      <c r="J177" s="36"/>
      <c r="K177" s="36"/>
      <c r="L177" s="36"/>
      <c r="M177" s="36"/>
      <c r="N177" s="13"/>
      <c r="O177" s="202"/>
      <c r="P177" s="36"/>
      <c r="Q177" s="52"/>
      <c r="R177" s="52"/>
      <c r="S177" s="52"/>
      <c r="U177" s="202"/>
      <c r="V177" s="202"/>
      <c r="W177" s="202"/>
      <c r="X177" s="202"/>
      <c r="Y177" s="13"/>
      <c r="Z177" s="36"/>
      <c r="AA177" s="13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289"/>
      <c r="AO177" s="289"/>
      <c r="AP177" s="289"/>
      <c r="AQ177" s="36"/>
      <c r="AR177" s="283"/>
      <c r="AS177" s="13"/>
      <c r="AT177" s="13"/>
      <c r="AU177" s="32"/>
      <c r="AV177" s="277"/>
      <c r="AW177" s="277"/>
      <c r="AX177" s="277"/>
      <c r="AY177" s="280"/>
      <c r="AZ177" s="268"/>
      <c r="BA177" s="268"/>
      <c r="BB177" s="13"/>
      <c r="BC177" s="36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</row>
    <row r="178" spans="1:73">
      <c r="A178" s="13"/>
      <c r="B178" s="13"/>
      <c r="C178" s="13"/>
      <c r="D178" s="13"/>
      <c r="E178" s="13"/>
      <c r="F178" s="13"/>
      <c r="G178" s="36"/>
      <c r="H178" s="36"/>
      <c r="I178" s="36"/>
      <c r="J178" s="36"/>
      <c r="K178" s="36"/>
      <c r="L178" s="36"/>
      <c r="M178" s="36"/>
      <c r="N178" s="13"/>
      <c r="O178" s="202"/>
      <c r="P178" s="36"/>
      <c r="Q178" s="52"/>
      <c r="R178" s="52"/>
      <c r="S178" s="52"/>
      <c r="U178" s="202"/>
      <c r="V178" s="202"/>
      <c r="W178" s="202"/>
      <c r="X178" s="202"/>
      <c r="Y178" s="13"/>
      <c r="Z178" s="36"/>
      <c r="AA178" s="13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289"/>
      <c r="AO178" s="289"/>
      <c r="AP178" s="289"/>
      <c r="AQ178" s="36"/>
      <c r="AR178" s="283"/>
      <c r="AS178" s="13"/>
      <c r="AT178" s="13"/>
      <c r="AU178" s="32"/>
      <c r="AV178" s="277"/>
      <c r="AW178" s="277"/>
      <c r="AX178" s="277"/>
      <c r="AY178" s="280"/>
      <c r="AZ178" s="268"/>
      <c r="BA178" s="268"/>
      <c r="BB178" s="13"/>
      <c r="BC178" s="36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</row>
    <row r="179" spans="1:73">
      <c r="A179" s="13"/>
      <c r="B179" s="13"/>
      <c r="C179" s="13"/>
      <c r="D179" s="13"/>
      <c r="E179" s="13"/>
      <c r="F179" s="13"/>
      <c r="G179" s="36"/>
      <c r="H179" s="36"/>
      <c r="I179" s="36"/>
      <c r="J179" s="36"/>
      <c r="K179" s="36"/>
      <c r="L179" s="36"/>
      <c r="M179" s="36"/>
      <c r="N179" s="13"/>
      <c r="O179" s="202"/>
      <c r="P179" s="36"/>
      <c r="Q179" s="52"/>
      <c r="R179" s="52"/>
      <c r="S179" s="52"/>
      <c r="U179" s="202"/>
      <c r="V179" s="202"/>
      <c r="W179" s="202"/>
      <c r="X179" s="202"/>
      <c r="Y179" s="13"/>
      <c r="Z179" s="36"/>
      <c r="AA179" s="13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289"/>
      <c r="AO179" s="289"/>
      <c r="AP179" s="289"/>
      <c r="AQ179" s="36"/>
      <c r="AR179" s="283"/>
      <c r="AS179" s="13"/>
      <c r="AT179" s="13"/>
      <c r="AU179" s="32"/>
      <c r="AV179" s="277"/>
      <c r="AW179" s="277"/>
      <c r="AX179" s="277"/>
      <c r="AY179" s="280"/>
      <c r="AZ179" s="268"/>
      <c r="BA179" s="268"/>
      <c r="BB179" s="13"/>
      <c r="BC179" s="36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</row>
    <row r="180" spans="1:73">
      <c r="A180" s="13"/>
      <c r="B180" s="13"/>
      <c r="C180" s="13"/>
      <c r="D180" s="13"/>
      <c r="E180" s="13"/>
      <c r="F180" s="13"/>
      <c r="G180" s="36"/>
      <c r="H180" s="36"/>
      <c r="I180" s="36"/>
      <c r="J180" s="36"/>
      <c r="K180" s="36"/>
      <c r="L180" s="36"/>
      <c r="M180" s="36"/>
      <c r="N180" s="13"/>
      <c r="O180" s="202"/>
      <c r="P180" s="36"/>
      <c r="Q180" s="52"/>
      <c r="R180" s="52"/>
      <c r="S180" s="52"/>
      <c r="U180" s="202"/>
      <c r="V180" s="202"/>
      <c r="W180" s="202"/>
      <c r="X180" s="202"/>
      <c r="Y180" s="13"/>
      <c r="Z180" s="36"/>
      <c r="AA180" s="13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289"/>
      <c r="AO180" s="289"/>
      <c r="AP180" s="289"/>
      <c r="AQ180" s="36"/>
      <c r="AR180" s="283"/>
      <c r="AS180" s="13"/>
      <c r="AT180" s="13"/>
      <c r="AU180" s="32"/>
      <c r="AV180" s="277"/>
      <c r="AW180" s="277"/>
      <c r="AX180" s="277"/>
      <c r="AY180" s="280"/>
      <c r="AZ180" s="268"/>
      <c r="BA180" s="268"/>
      <c r="BB180" s="13"/>
      <c r="BC180" s="36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</row>
    <row r="181" spans="1:73">
      <c r="A181" s="13"/>
      <c r="B181" s="13"/>
      <c r="C181" s="13"/>
      <c r="D181" s="13"/>
      <c r="E181" s="13"/>
      <c r="F181" s="13"/>
      <c r="G181" s="36"/>
      <c r="H181" s="36"/>
      <c r="I181" s="36"/>
      <c r="J181" s="36"/>
      <c r="K181" s="36"/>
      <c r="L181" s="36"/>
      <c r="M181" s="36"/>
      <c r="N181" s="13"/>
      <c r="O181" s="202"/>
      <c r="P181" s="36"/>
      <c r="Q181" s="52"/>
      <c r="R181" s="52"/>
      <c r="S181" s="52"/>
      <c r="U181" s="202"/>
      <c r="V181" s="202"/>
      <c r="W181" s="202"/>
      <c r="X181" s="202"/>
      <c r="Y181" s="13"/>
      <c r="Z181" s="36"/>
      <c r="AA181" s="13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289"/>
      <c r="AO181" s="289"/>
      <c r="AP181" s="289"/>
      <c r="AQ181" s="36"/>
      <c r="AR181" s="283"/>
      <c r="AS181" s="13"/>
      <c r="AT181" s="13"/>
      <c r="AU181" s="32"/>
      <c r="AV181" s="277"/>
      <c r="AW181" s="277"/>
      <c r="AX181" s="277"/>
      <c r="AY181" s="280"/>
      <c r="AZ181" s="268"/>
      <c r="BA181" s="268"/>
      <c r="BB181" s="13"/>
      <c r="BC181" s="36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</row>
    <row r="182" spans="1:73">
      <c r="A182" s="13"/>
      <c r="B182" s="13"/>
      <c r="C182" s="13"/>
      <c r="D182" s="13"/>
      <c r="E182" s="13"/>
      <c r="F182" s="13"/>
      <c r="G182" s="36"/>
      <c r="H182" s="36"/>
      <c r="I182" s="36"/>
      <c r="J182" s="36"/>
      <c r="K182" s="36"/>
      <c r="L182" s="36"/>
      <c r="M182" s="36"/>
      <c r="N182" s="13"/>
      <c r="O182" s="202"/>
      <c r="P182" s="36"/>
      <c r="Q182" s="52"/>
      <c r="R182" s="52"/>
      <c r="S182" s="52"/>
      <c r="U182" s="202"/>
      <c r="V182" s="202"/>
      <c r="W182" s="202"/>
      <c r="X182" s="202"/>
      <c r="Y182" s="13"/>
      <c r="Z182" s="36"/>
      <c r="AA182" s="13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289"/>
      <c r="AO182" s="289"/>
      <c r="AP182" s="289"/>
      <c r="AQ182" s="36"/>
      <c r="AR182" s="283"/>
      <c r="AS182" s="13"/>
      <c r="AT182" s="13"/>
      <c r="AU182" s="32"/>
      <c r="AV182" s="277"/>
      <c r="AW182" s="277"/>
      <c r="AX182" s="277"/>
      <c r="AY182" s="280"/>
      <c r="AZ182" s="268"/>
      <c r="BA182" s="268"/>
      <c r="BB182" s="13"/>
      <c r="BC182" s="36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</row>
    <row r="183" spans="1:73">
      <c r="A183" s="13"/>
      <c r="B183" s="13"/>
      <c r="C183" s="13"/>
      <c r="D183" s="13"/>
      <c r="E183" s="13"/>
      <c r="F183" s="13"/>
      <c r="G183" s="36"/>
      <c r="H183" s="36"/>
      <c r="I183" s="36"/>
      <c r="J183" s="36"/>
      <c r="K183" s="36"/>
      <c r="L183" s="36"/>
      <c r="M183" s="36"/>
      <c r="N183" s="13"/>
      <c r="O183" s="202"/>
      <c r="P183" s="36"/>
      <c r="Q183" s="52"/>
      <c r="R183" s="52"/>
      <c r="S183" s="52"/>
      <c r="U183" s="202"/>
      <c r="V183" s="202"/>
      <c r="W183" s="202"/>
      <c r="X183" s="202"/>
      <c r="Y183" s="13"/>
      <c r="Z183" s="36"/>
      <c r="AA183" s="13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289"/>
      <c r="AO183" s="289"/>
      <c r="AP183" s="289"/>
      <c r="AQ183" s="36"/>
      <c r="AR183" s="283"/>
      <c r="AS183" s="13"/>
      <c r="AT183" s="13"/>
      <c r="AU183" s="32"/>
      <c r="AV183" s="277"/>
      <c r="AW183" s="277"/>
      <c r="AX183" s="277"/>
      <c r="AY183" s="280"/>
      <c r="AZ183" s="268"/>
      <c r="BA183" s="268"/>
      <c r="BB183" s="13"/>
      <c r="BC183" s="36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</row>
    <row r="184" spans="1:73">
      <c r="A184" s="13"/>
      <c r="B184" s="13"/>
      <c r="C184" s="13"/>
      <c r="D184" s="13"/>
      <c r="E184" s="13"/>
      <c r="F184" s="13"/>
      <c r="G184" s="36"/>
      <c r="H184" s="36"/>
      <c r="I184" s="36"/>
      <c r="J184" s="36"/>
      <c r="K184" s="36"/>
      <c r="L184" s="36"/>
      <c r="M184" s="36"/>
      <c r="N184" s="13"/>
      <c r="O184" s="202"/>
      <c r="P184" s="36"/>
      <c r="Q184" s="52"/>
      <c r="R184" s="52"/>
      <c r="S184" s="52"/>
      <c r="U184" s="202"/>
      <c r="V184" s="202"/>
      <c r="W184" s="202"/>
      <c r="X184" s="202"/>
      <c r="Y184" s="13"/>
      <c r="Z184" s="36"/>
      <c r="AA184" s="13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289"/>
      <c r="AO184" s="289"/>
      <c r="AP184" s="289"/>
      <c r="AQ184" s="36"/>
      <c r="AR184" s="283"/>
      <c r="AS184" s="13"/>
      <c r="AT184" s="13"/>
      <c r="AU184" s="32"/>
      <c r="AV184" s="277"/>
      <c r="AW184" s="277"/>
      <c r="AX184" s="277"/>
      <c r="AY184" s="280"/>
      <c r="AZ184" s="268"/>
      <c r="BA184" s="268"/>
      <c r="BB184" s="13"/>
      <c r="BC184" s="36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</row>
    <row r="185" spans="1:73">
      <c r="A185" s="13"/>
      <c r="B185" s="13"/>
      <c r="C185" s="13"/>
      <c r="D185" s="13"/>
      <c r="E185" s="13"/>
      <c r="F185" s="13"/>
      <c r="G185" s="36"/>
      <c r="H185" s="36"/>
      <c r="I185" s="36"/>
      <c r="J185" s="36"/>
      <c r="K185" s="36"/>
      <c r="L185" s="36"/>
      <c r="M185" s="36"/>
      <c r="N185" s="13"/>
      <c r="O185" s="202"/>
      <c r="P185" s="36"/>
      <c r="Q185" s="52"/>
      <c r="R185" s="52"/>
      <c r="S185" s="52"/>
      <c r="U185" s="202"/>
      <c r="V185" s="202"/>
      <c r="W185" s="202"/>
      <c r="X185" s="202"/>
      <c r="Y185" s="13"/>
      <c r="Z185" s="36"/>
      <c r="AA185" s="13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289"/>
      <c r="AO185" s="289"/>
      <c r="AP185" s="289"/>
      <c r="AQ185" s="36"/>
      <c r="AR185" s="283"/>
      <c r="AS185" s="13"/>
      <c r="AT185" s="13"/>
      <c r="AU185" s="32"/>
      <c r="AV185" s="277"/>
      <c r="AW185" s="277"/>
      <c r="AX185" s="277"/>
      <c r="AY185" s="280"/>
      <c r="AZ185" s="268"/>
      <c r="BA185" s="268"/>
      <c r="BB185" s="13"/>
      <c r="BC185" s="36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</row>
    <row r="186" spans="1:73">
      <c r="A186" s="13"/>
      <c r="B186" s="13"/>
      <c r="C186" s="13"/>
      <c r="D186" s="13"/>
      <c r="E186" s="13"/>
      <c r="F186" s="13"/>
      <c r="G186" s="36"/>
      <c r="H186" s="36"/>
      <c r="I186" s="36"/>
      <c r="J186" s="36"/>
      <c r="K186" s="36"/>
      <c r="L186" s="36"/>
      <c r="M186" s="36"/>
      <c r="N186" s="13"/>
      <c r="O186" s="202"/>
      <c r="P186" s="36"/>
      <c r="Q186" s="52"/>
      <c r="R186" s="52"/>
      <c r="S186" s="52"/>
      <c r="U186" s="202"/>
      <c r="V186" s="202"/>
      <c r="W186" s="202"/>
      <c r="X186" s="202"/>
      <c r="Y186" s="13"/>
      <c r="Z186" s="36"/>
      <c r="AA186" s="13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289"/>
      <c r="AO186" s="289"/>
      <c r="AP186" s="289"/>
      <c r="AQ186" s="36"/>
      <c r="AR186" s="283"/>
      <c r="AS186" s="13"/>
      <c r="AT186" s="13"/>
      <c r="AU186" s="32"/>
      <c r="AV186" s="277"/>
      <c r="AW186" s="277"/>
      <c r="AX186" s="277"/>
      <c r="AY186" s="280"/>
      <c r="AZ186" s="268"/>
      <c r="BA186" s="268"/>
      <c r="BB186" s="13"/>
      <c r="BC186" s="36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</row>
    <row r="187" spans="1:73">
      <c r="A187" s="13"/>
      <c r="B187" s="13"/>
      <c r="C187" s="13"/>
      <c r="D187" s="13"/>
      <c r="E187" s="13"/>
      <c r="F187" s="13"/>
      <c r="G187" s="36"/>
      <c r="H187" s="36"/>
      <c r="I187" s="36"/>
      <c r="J187" s="36"/>
      <c r="K187" s="36"/>
      <c r="L187" s="36"/>
      <c r="M187" s="36"/>
      <c r="N187" s="13"/>
      <c r="O187" s="202"/>
      <c r="P187" s="36"/>
      <c r="Q187" s="52"/>
      <c r="R187" s="52"/>
      <c r="S187" s="52"/>
      <c r="U187" s="202"/>
      <c r="V187" s="202"/>
      <c r="W187" s="202"/>
      <c r="X187" s="202"/>
      <c r="Y187" s="13"/>
      <c r="Z187" s="36"/>
      <c r="AA187" s="13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289"/>
      <c r="AO187" s="289"/>
      <c r="AP187" s="289"/>
      <c r="AQ187" s="36"/>
      <c r="AR187" s="283"/>
      <c r="AS187" s="13"/>
      <c r="AT187" s="13"/>
      <c r="AU187" s="32"/>
      <c r="AV187" s="277"/>
      <c r="AW187" s="277"/>
      <c r="AX187" s="277"/>
      <c r="AY187" s="280"/>
      <c r="AZ187" s="268"/>
      <c r="BA187" s="268"/>
      <c r="BB187" s="13"/>
      <c r="BC187" s="36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</row>
    <row r="188" spans="1:73">
      <c r="A188" s="13"/>
      <c r="B188" s="13"/>
      <c r="C188" s="13"/>
      <c r="D188" s="13"/>
      <c r="E188" s="13"/>
      <c r="F188" s="13"/>
      <c r="G188" s="36"/>
      <c r="H188" s="36"/>
      <c r="I188" s="36"/>
      <c r="J188" s="36"/>
      <c r="K188" s="36"/>
      <c r="L188" s="36"/>
      <c r="M188" s="36"/>
      <c r="N188" s="13"/>
      <c r="O188" s="202"/>
      <c r="P188" s="36"/>
      <c r="Q188" s="52"/>
      <c r="R188" s="52"/>
      <c r="S188" s="52"/>
      <c r="U188" s="202"/>
      <c r="V188" s="202"/>
      <c r="W188" s="202"/>
      <c r="X188" s="202"/>
      <c r="Y188" s="13"/>
      <c r="Z188" s="36"/>
      <c r="AA188" s="13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289"/>
      <c r="AO188" s="289"/>
      <c r="AP188" s="289"/>
      <c r="AQ188" s="36"/>
      <c r="AR188" s="283"/>
      <c r="AS188" s="13"/>
      <c r="AT188" s="13"/>
      <c r="AU188" s="32"/>
      <c r="AV188" s="277"/>
      <c r="AW188" s="277"/>
      <c r="AX188" s="277"/>
      <c r="AY188" s="280"/>
      <c r="AZ188" s="268"/>
      <c r="BA188" s="268"/>
      <c r="BB188" s="13"/>
      <c r="BC188" s="36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</row>
    <row r="189" spans="1:73">
      <c r="A189" s="13"/>
      <c r="B189" s="13"/>
      <c r="C189" s="13"/>
      <c r="D189" s="13"/>
      <c r="E189" s="13"/>
      <c r="F189" s="13"/>
      <c r="G189" s="36"/>
      <c r="H189" s="36"/>
      <c r="I189" s="36"/>
      <c r="J189" s="36"/>
      <c r="K189" s="36"/>
      <c r="L189" s="36"/>
      <c r="M189" s="36"/>
      <c r="N189" s="13"/>
      <c r="O189" s="202"/>
      <c r="P189" s="36"/>
      <c r="Q189" s="52"/>
      <c r="R189" s="52"/>
      <c r="S189" s="52"/>
      <c r="U189" s="202"/>
      <c r="V189" s="202"/>
      <c r="W189" s="202"/>
      <c r="X189" s="202"/>
      <c r="Y189" s="13"/>
      <c r="Z189" s="36"/>
      <c r="AA189" s="13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289"/>
      <c r="AO189" s="289"/>
      <c r="AP189" s="289"/>
      <c r="AQ189" s="36"/>
      <c r="AR189" s="283"/>
      <c r="AS189" s="13"/>
      <c r="AT189" s="13"/>
      <c r="AU189" s="32"/>
      <c r="AV189" s="277"/>
      <c r="AW189" s="277"/>
      <c r="AX189" s="277"/>
      <c r="AY189" s="280"/>
      <c r="AZ189" s="268"/>
      <c r="BA189" s="268"/>
      <c r="BB189" s="13"/>
      <c r="BC189" s="36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</row>
    <row r="190" spans="1:73">
      <c r="A190" s="13"/>
      <c r="B190" s="13"/>
      <c r="C190" s="13"/>
      <c r="D190" s="13"/>
      <c r="E190" s="13"/>
      <c r="F190" s="13"/>
      <c r="G190" s="36"/>
      <c r="H190" s="36"/>
      <c r="I190" s="36"/>
      <c r="J190" s="36"/>
      <c r="K190" s="36"/>
      <c r="L190" s="36"/>
      <c r="M190" s="36"/>
      <c r="N190" s="13"/>
      <c r="O190" s="202"/>
      <c r="P190" s="36"/>
      <c r="Q190" s="52"/>
      <c r="R190" s="52"/>
      <c r="S190" s="52"/>
      <c r="U190" s="202"/>
      <c r="V190" s="202"/>
      <c r="W190" s="202"/>
      <c r="X190" s="202"/>
      <c r="Y190" s="13"/>
      <c r="Z190" s="36"/>
      <c r="AA190" s="13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289"/>
      <c r="AO190" s="289"/>
      <c r="AP190" s="289"/>
      <c r="AQ190" s="36"/>
      <c r="AR190" s="283"/>
      <c r="AS190" s="13"/>
      <c r="AT190" s="13"/>
      <c r="AU190" s="32"/>
      <c r="AV190" s="277"/>
      <c r="AW190" s="277"/>
      <c r="AX190" s="277"/>
      <c r="AY190" s="280"/>
      <c r="AZ190" s="268"/>
      <c r="BA190" s="268"/>
      <c r="BB190" s="13"/>
      <c r="BC190" s="36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</row>
    <row r="191" spans="1:73">
      <c r="A191" s="13"/>
      <c r="B191" s="13"/>
      <c r="C191" s="13"/>
      <c r="D191" s="13"/>
      <c r="E191" s="13"/>
      <c r="F191" s="13"/>
      <c r="G191" s="36"/>
      <c r="H191" s="36"/>
      <c r="I191" s="36"/>
      <c r="J191" s="36"/>
      <c r="K191" s="36"/>
      <c r="L191" s="36"/>
      <c r="M191" s="36"/>
      <c r="N191" s="13"/>
      <c r="O191" s="202"/>
      <c r="P191" s="36"/>
      <c r="Q191" s="52"/>
      <c r="R191" s="52"/>
      <c r="S191" s="52"/>
      <c r="U191" s="202"/>
      <c r="V191" s="202"/>
      <c r="W191" s="202"/>
      <c r="X191" s="202"/>
      <c r="Y191" s="13"/>
      <c r="Z191" s="36"/>
      <c r="AA191" s="13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289"/>
      <c r="AO191" s="289"/>
      <c r="AP191" s="289"/>
      <c r="AQ191" s="36"/>
      <c r="AR191" s="283"/>
      <c r="AS191" s="13"/>
      <c r="AT191" s="13"/>
      <c r="AU191" s="32"/>
      <c r="AV191" s="277"/>
      <c r="AW191" s="277"/>
      <c r="AX191" s="277"/>
      <c r="AY191" s="280"/>
      <c r="AZ191" s="268"/>
      <c r="BA191" s="268"/>
      <c r="BB191" s="13"/>
      <c r="BC191" s="36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</row>
    <row r="192" spans="1:73">
      <c r="A192" s="13"/>
      <c r="B192" s="13"/>
      <c r="C192" s="13"/>
      <c r="D192" s="13"/>
      <c r="E192" s="13"/>
      <c r="F192" s="13"/>
      <c r="G192" s="36"/>
      <c r="H192" s="36"/>
      <c r="I192" s="36"/>
      <c r="J192" s="36"/>
      <c r="K192" s="36"/>
      <c r="L192" s="36"/>
      <c r="M192" s="36"/>
      <c r="N192" s="13"/>
      <c r="O192" s="202"/>
      <c r="P192" s="36"/>
      <c r="Q192" s="52"/>
      <c r="R192" s="52"/>
      <c r="S192" s="52"/>
      <c r="U192" s="202"/>
      <c r="V192" s="202"/>
      <c r="W192" s="202"/>
      <c r="X192" s="202"/>
      <c r="Y192" s="13"/>
      <c r="Z192" s="36"/>
      <c r="AA192" s="13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289"/>
      <c r="AO192" s="289"/>
      <c r="AP192" s="289"/>
      <c r="AQ192" s="36"/>
      <c r="AR192" s="283"/>
      <c r="AS192" s="13"/>
      <c r="AT192" s="13"/>
      <c r="AU192" s="32"/>
      <c r="AV192" s="277"/>
      <c r="AW192" s="277"/>
      <c r="AX192" s="277"/>
      <c r="AY192" s="280"/>
      <c r="AZ192" s="268"/>
      <c r="BA192" s="268"/>
      <c r="BB192" s="13"/>
      <c r="BC192" s="36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</row>
    <row r="193" spans="1:73">
      <c r="A193" s="13"/>
      <c r="B193" s="13"/>
      <c r="C193" s="13"/>
      <c r="D193" s="13"/>
      <c r="E193" s="13"/>
      <c r="F193" s="13"/>
      <c r="G193" s="36"/>
      <c r="H193" s="36"/>
      <c r="I193" s="36"/>
      <c r="J193" s="36"/>
      <c r="K193" s="36"/>
      <c r="L193" s="36"/>
      <c r="M193" s="36"/>
      <c r="N193" s="13"/>
      <c r="O193" s="202"/>
      <c r="P193" s="36"/>
      <c r="Q193" s="52"/>
      <c r="R193" s="52"/>
      <c r="S193" s="52"/>
      <c r="U193" s="202"/>
      <c r="V193" s="202"/>
      <c r="W193" s="202"/>
      <c r="X193" s="202"/>
      <c r="Y193" s="13"/>
      <c r="Z193" s="36"/>
      <c r="AA193" s="13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289"/>
      <c r="AO193" s="289"/>
      <c r="AP193" s="289"/>
      <c r="AQ193" s="36"/>
      <c r="AR193" s="283"/>
      <c r="AS193" s="13"/>
      <c r="AT193" s="13"/>
      <c r="AU193" s="32"/>
      <c r="AV193" s="277"/>
      <c r="AW193" s="277"/>
      <c r="AX193" s="277"/>
      <c r="AY193" s="280"/>
      <c r="AZ193" s="268"/>
      <c r="BA193" s="268"/>
      <c r="BB193" s="13"/>
      <c r="BC193" s="36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</row>
    <row r="194" spans="1:73">
      <c r="A194" s="13"/>
      <c r="B194" s="13"/>
      <c r="C194" s="13"/>
      <c r="D194" s="13"/>
      <c r="E194" s="13"/>
      <c r="F194" s="13"/>
      <c r="G194" s="36"/>
      <c r="H194" s="36"/>
      <c r="I194" s="36"/>
      <c r="J194" s="36"/>
      <c r="K194" s="36"/>
      <c r="L194" s="36"/>
      <c r="M194" s="36"/>
      <c r="N194" s="13"/>
      <c r="O194" s="202"/>
      <c r="P194" s="36"/>
      <c r="Q194" s="52"/>
      <c r="R194" s="52"/>
      <c r="S194" s="52"/>
      <c r="U194" s="202"/>
      <c r="V194" s="202"/>
      <c r="W194" s="202"/>
      <c r="X194" s="202"/>
      <c r="Y194" s="13"/>
      <c r="Z194" s="36"/>
      <c r="AA194" s="13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289"/>
      <c r="AO194" s="289"/>
      <c r="AP194" s="289"/>
      <c r="AQ194" s="36"/>
      <c r="AR194" s="283"/>
      <c r="AS194" s="13"/>
      <c r="AT194" s="13"/>
      <c r="AU194" s="32"/>
      <c r="AV194" s="277"/>
      <c r="AW194" s="277"/>
      <c r="AX194" s="277"/>
      <c r="AY194" s="280"/>
      <c r="AZ194" s="268"/>
      <c r="BA194" s="268"/>
      <c r="BB194" s="13"/>
      <c r="BC194" s="36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</row>
    <row r="195" spans="1:73">
      <c r="A195" s="13"/>
      <c r="B195" s="13"/>
      <c r="C195" s="13"/>
      <c r="D195" s="13"/>
      <c r="E195" s="13"/>
      <c r="F195" s="13"/>
      <c r="G195" s="36"/>
      <c r="H195" s="36"/>
      <c r="I195" s="36"/>
      <c r="J195" s="36"/>
      <c r="K195" s="36"/>
      <c r="L195" s="36"/>
      <c r="M195" s="36"/>
      <c r="N195" s="13"/>
      <c r="O195" s="202"/>
      <c r="P195" s="36"/>
      <c r="Q195" s="52"/>
      <c r="R195" s="52"/>
      <c r="S195" s="52"/>
      <c r="U195" s="202"/>
      <c r="V195" s="202"/>
      <c r="W195" s="202"/>
      <c r="X195" s="202"/>
      <c r="Y195" s="13"/>
      <c r="Z195" s="36"/>
      <c r="AA195" s="13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289"/>
      <c r="AO195" s="289"/>
      <c r="AP195" s="289"/>
      <c r="AQ195" s="36"/>
      <c r="AR195" s="283"/>
      <c r="AS195" s="13"/>
      <c r="AT195" s="13"/>
      <c r="AU195" s="32"/>
      <c r="AV195" s="277"/>
      <c r="AW195" s="277"/>
      <c r="AX195" s="277"/>
      <c r="AY195" s="280"/>
      <c r="AZ195" s="268"/>
      <c r="BA195" s="268"/>
      <c r="BB195" s="13"/>
      <c r="BC195" s="36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</row>
    <row r="196" spans="1:73">
      <c r="A196" s="13"/>
      <c r="B196" s="13"/>
      <c r="C196" s="13"/>
      <c r="D196" s="13"/>
      <c r="E196" s="13"/>
      <c r="F196" s="13"/>
      <c r="G196" s="36"/>
      <c r="H196" s="36"/>
      <c r="I196" s="36"/>
      <c r="J196" s="36"/>
      <c r="K196" s="36"/>
      <c r="L196" s="36"/>
      <c r="M196" s="36"/>
      <c r="N196" s="13"/>
      <c r="O196" s="202"/>
      <c r="P196" s="36"/>
      <c r="Q196" s="52"/>
      <c r="R196" s="52"/>
      <c r="S196" s="52"/>
      <c r="U196" s="202"/>
      <c r="V196" s="202"/>
      <c r="W196" s="202"/>
      <c r="X196" s="202"/>
      <c r="Y196" s="13"/>
      <c r="Z196" s="36"/>
      <c r="AA196" s="13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289"/>
      <c r="AO196" s="289"/>
      <c r="AP196" s="289"/>
      <c r="AQ196" s="36"/>
      <c r="AR196" s="283"/>
      <c r="AS196" s="13"/>
      <c r="AT196" s="13"/>
      <c r="AU196" s="32"/>
      <c r="AV196" s="277"/>
      <c r="AW196" s="277"/>
      <c r="AX196" s="277"/>
      <c r="AY196" s="280"/>
      <c r="AZ196" s="268"/>
      <c r="BA196" s="268"/>
      <c r="BB196" s="13"/>
      <c r="BC196" s="36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</row>
    <row r="197" spans="1:73">
      <c r="A197" s="13"/>
      <c r="B197" s="13"/>
      <c r="C197" s="13"/>
      <c r="D197" s="13"/>
      <c r="E197" s="13"/>
      <c r="F197" s="13"/>
      <c r="G197" s="36"/>
      <c r="H197" s="36"/>
      <c r="I197" s="36"/>
      <c r="J197" s="36"/>
      <c r="K197" s="36"/>
      <c r="L197" s="36"/>
      <c r="M197" s="36"/>
      <c r="N197" s="13"/>
      <c r="O197" s="202"/>
      <c r="P197" s="36"/>
      <c r="Q197" s="52"/>
      <c r="R197" s="52"/>
      <c r="S197" s="52"/>
      <c r="U197" s="202"/>
      <c r="V197" s="202"/>
      <c r="W197" s="202"/>
      <c r="X197" s="202"/>
      <c r="Y197" s="13"/>
      <c r="Z197" s="36"/>
      <c r="AA197" s="13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289"/>
      <c r="AO197" s="289"/>
      <c r="AP197" s="289"/>
      <c r="AQ197" s="36"/>
      <c r="AR197" s="283"/>
      <c r="AS197" s="13"/>
      <c r="AT197" s="13"/>
      <c r="AU197" s="32"/>
      <c r="AV197" s="277"/>
      <c r="AW197" s="277"/>
      <c r="AX197" s="277"/>
      <c r="AY197" s="280"/>
      <c r="AZ197" s="268"/>
      <c r="BA197" s="268"/>
      <c r="BB197" s="13"/>
      <c r="BC197" s="36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</row>
    <row r="198" spans="1:73">
      <c r="A198" s="13"/>
      <c r="B198" s="13"/>
      <c r="C198" s="13"/>
      <c r="D198" s="13"/>
      <c r="E198" s="13"/>
      <c r="F198" s="13"/>
      <c r="G198" s="36"/>
      <c r="H198" s="36"/>
      <c r="I198" s="36"/>
      <c r="J198" s="36"/>
      <c r="K198" s="36"/>
      <c r="L198" s="36"/>
      <c r="M198" s="36"/>
      <c r="N198" s="13"/>
      <c r="O198" s="202"/>
      <c r="P198" s="36"/>
      <c r="Q198" s="52"/>
      <c r="R198" s="52"/>
      <c r="S198" s="52"/>
      <c r="U198" s="202"/>
      <c r="V198" s="202"/>
      <c r="W198" s="202"/>
      <c r="X198" s="202"/>
      <c r="Y198" s="13"/>
      <c r="Z198" s="36"/>
      <c r="AA198" s="13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289"/>
      <c r="AO198" s="289"/>
      <c r="AP198" s="289"/>
      <c r="AQ198" s="36"/>
      <c r="AR198" s="283"/>
      <c r="AS198" s="13"/>
      <c r="AT198" s="13"/>
      <c r="AU198" s="32"/>
      <c r="AV198" s="277"/>
      <c r="AW198" s="277"/>
      <c r="AX198" s="277"/>
      <c r="AY198" s="280"/>
      <c r="AZ198" s="268"/>
      <c r="BA198" s="268"/>
      <c r="BB198" s="13"/>
      <c r="BC198" s="36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</row>
    <row r="199" spans="1:73">
      <c r="A199" s="13"/>
      <c r="B199" s="13"/>
      <c r="C199" s="13"/>
      <c r="D199" s="13"/>
      <c r="E199" s="13"/>
      <c r="F199" s="13"/>
      <c r="G199" s="36"/>
      <c r="H199" s="36"/>
      <c r="I199" s="36"/>
      <c r="J199" s="36"/>
      <c r="K199" s="36"/>
      <c r="L199" s="36"/>
      <c r="M199" s="36"/>
      <c r="N199" s="13"/>
      <c r="O199" s="202"/>
      <c r="P199" s="36"/>
      <c r="Q199" s="52"/>
      <c r="R199" s="52"/>
      <c r="S199" s="52"/>
      <c r="U199" s="202"/>
      <c r="V199" s="202"/>
      <c r="W199" s="202"/>
      <c r="X199" s="202"/>
      <c r="Y199" s="13"/>
      <c r="Z199" s="36"/>
      <c r="AA199" s="13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289"/>
      <c r="AO199" s="289"/>
      <c r="AP199" s="289"/>
      <c r="AQ199" s="36"/>
      <c r="AR199" s="283"/>
      <c r="AS199" s="13"/>
      <c r="AT199" s="13"/>
      <c r="AU199" s="32"/>
      <c r="AV199" s="277"/>
      <c r="AW199" s="277"/>
      <c r="AX199" s="277"/>
      <c r="AY199" s="280"/>
      <c r="AZ199" s="268"/>
      <c r="BA199" s="268"/>
      <c r="BB199" s="13"/>
      <c r="BC199" s="36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</row>
    <row r="200" spans="1:73">
      <c r="A200" s="13"/>
      <c r="B200" s="13"/>
      <c r="C200" s="13"/>
      <c r="D200" s="13"/>
      <c r="E200" s="13"/>
      <c r="F200" s="13"/>
      <c r="G200" s="36"/>
      <c r="H200" s="36"/>
      <c r="I200" s="36"/>
      <c r="J200" s="36"/>
      <c r="K200" s="36"/>
      <c r="L200" s="36"/>
      <c r="M200" s="36"/>
      <c r="N200" s="13"/>
      <c r="O200" s="202"/>
      <c r="P200" s="36"/>
      <c r="Q200" s="52"/>
      <c r="R200" s="52"/>
      <c r="S200" s="52"/>
      <c r="U200" s="202"/>
      <c r="V200" s="202"/>
      <c r="W200" s="202"/>
      <c r="X200" s="202"/>
      <c r="Y200" s="13"/>
      <c r="Z200" s="36"/>
      <c r="AA200" s="13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289"/>
      <c r="AO200" s="289"/>
      <c r="AP200" s="289"/>
      <c r="AQ200" s="36"/>
      <c r="AR200" s="283"/>
      <c r="AS200" s="13"/>
      <c r="AT200" s="13"/>
      <c r="AU200" s="32"/>
      <c r="AV200" s="277"/>
      <c r="AW200" s="277"/>
      <c r="AX200" s="277"/>
      <c r="AY200" s="280"/>
      <c r="AZ200" s="268"/>
      <c r="BA200" s="268"/>
      <c r="BB200" s="13"/>
      <c r="BC200" s="36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</row>
    <row r="201" spans="1:73">
      <c r="A201" s="13"/>
      <c r="B201" s="13"/>
      <c r="C201" s="13"/>
      <c r="D201" s="13"/>
      <c r="E201" s="13"/>
      <c r="F201" s="13"/>
      <c r="G201" s="36"/>
      <c r="H201" s="36"/>
      <c r="I201" s="36"/>
      <c r="J201" s="36"/>
      <c r="K201" s="36"/>
      <c r="L201" s="36"/>
      <c r="M201" s="36"/>
      <c r="N201" s="13"/>
      <c r="O201" s="202"/>
      <c r="P201" s="36"/>
      <c r="Q201" s="52"/>
      <c r="R201" s="52"/>
      <c r="S201" s="52"/>
      <c r="U201" s="202"/>
      <c r="V201" s="202"/>
      <c r="W201" s="202"/>
      <c r="X201" s="202"/>
      <c r="Y201" s="13"/>
      <c r="Z201" s="36"/>
      <c r="AA201" s="13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289"/>
      <c r="AO201" s="289"/>
      <c r="AP201" s="289"/>
      <c r="AQ201" s="36"/>
      <c r="AR201" s="283"/>
      <c r="AS201" s="13"/>
      <c r="AT201" s="13"/>
      <c r="AU201" s="32"/>
      <c r="AV201" s="277"/>
      <c r="AW201" s="277"/>
      <c r="AX201" s="277"/>
      <c r="AY201" s="280"/>
      <c r="AZ201" s="268"/>
      <c r="BA201" s="268"/>
      <c r="BB201" s="13"/>
      <c r="BC201" s="36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</row>
    <row r="202" spans="1:73">
      <c r="A202" s="13"/>
      <c r="B202" s="13"/>
      <c r="C202" s="13"/>
      <c r="D202" s="13"/>
      <c r="E202" s="13"/>
      <c r="F202" s="13"/>
      <c r="G202" s="36"/>
      <c r="H202" s="36"/>
      <c r="I202" s="36"/>
      <c r="J202" s="36"/>
      <c r="K202" s="36"/>
      <c r="L202" s="36"/>
      <c r="M202" s="36"/>
      <c r="N202" s="13"/>
      <c r="O202" s="202"/>
      <c r="P202" s="36"/>
      <c r="Q202" s="52"/>
      <c r="R202" s="52"/>
      <c r="S202" s="52"/>
      <c r="U202" s="202"/>
      <c r="V202" s="202"/>
      <c r="W202" s="202"/>
      <c r="X202" s="202"/>
      <c r="Y202" s="13"/>
      <c r="Z202" s="36"/>
      <c r="AA202" s="13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289"/>
      <c r="AO202" s="289"/>
      <c r="AP202" s="289"/>
      <c r="AQ202" s="36"/>
      <c r="AR202" s="283"/>
      <c r="AS202" s="13"/>
      <c r="AT202" s="13"/>
      <c r="AU202" s="32"/>
      <c r="AV202" s="277"/>
      <c r="AW202" s="277"/>
      <c r="AX202" s="277"/>
      <c r="AY202" s="280"/>
      <c r="AZ202" s="268"/>
      <c r="BA202" s="268"/>
      <c r="BB202" s="13"/>
      <c r="BC202" s="36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</row>
    <row r="203" spans="1:73">
      <c r="A203" s="13"/>
      <c r="B203" s="13"/>
      <c r="C203" s="13"/>
      <c r="D203" s="13"/>
      <c r="E203" s="13"/>
      <c r="F203" s="13"/>
      <c r="G203" s="36"/>
      <c r="H203" s="36"/>
      <c r="I203" s="36"/>
      <c r="J203" s="36"/>
      <c r="K203" s="36"/>
      <c r="L203" s="36"/>
      <c r="M203" s="36"/>
      <c r="N203" s="13"/>
      <c r="O203" s="202"/>
      <c r="P203" s="36"/>
      <c r="Q203" s="52"/>
      <c r="R203" s="52"/>
      <c r="S203" s="52"/>
      <c r="U203" s="202"/>
      <c r="V203" s="202"/>
      <c r="W203" s="202"/>
      <c r="X203" s="202"/>
      <c r="Y203" s="13"/>
      <c r="Z203" s="36"/>
      <c r="AA203" s="13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289"/>
      <c r="AO203" s="289"/>
      <c r="AP203" s="289"/>
      <c r="AQ203" s="36"/>
      <c r="AR203" s="283"/>
      <c r="AS203" s="13"/>
      <c r="AT203" s="13"/>
      <c r="AU203" s="32"/>
      <c r="AV203" s="277"/>
      <c r="AW203" s="277"/>
      <c r="AX203" s="277"/>
      <c r="AY203" s="280"/>
      <c r="AZ203" s="268"/>
      <c r="BA203" s="268"/>
      <c r="BB203" s="13"/>
      <c r="BC203" s="36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</row>
    <row r="204" spans="1:73">
      <c r="A204" s="13"/>
      <c r="B204" s="13"/>
      <c r="C204" s="13"/>
      <c r="D204" s="13"/>
      <c r="E204" s="13"/>
      <c r="F204" s="13"/>
      <c r="G204" s="36"/>
      <c r="H204" s="36"/>
      <c r="I204" s="36"/>
      <c r="J204" s="36"/>
      <c r="K204" s="36"/>
      <c r="L204" s="36"/>
      <c r="M204" s="36"/>
      <c r="N204" s="13"/>
      <c r="O204" s="202"/>
      <c r="P204" s="36"/>
      <c r="Q204" s="52"/>
      <c r="R204" s="52"/>
      <c r="S204" s="52"/>
      <c r="U204" s="202"/>
      <c r="V204" s="202"/>
      <c r="W204" s="202"/>
      <c r="X204" s="202"/>
      <c r="Y204" s="13"/>
      <c r="Z204" s="36"/>
      <c r="AA204" s="13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289"/>
      <c r="AO204" s="289"/>
      <c r="AP204" s="289"/>
      <c r="AQ204" s="36"/>
      <c r="AR204" s="283"/>
      <c r="AS204" s="13"/>
      <c r="AT204" s="13"/>
      <c r="AU204" s="32"/>
      <c r="AV204" s="277"/>
      <c r="AW204" s="277"/>
      <c r="AX204" s="277"/>
      <c r="AY204" s="280"/>
      <c r="AZ204" s="268"/>
      <c r="BA204" s="268"/>
      <c r="BB204" s="13"/>
      <c r="BC204" s="36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</row>
    <row r="205" spans="1:73">
      <c r="A205" s="13"/>
      <c r="B205" s="13"/>
      <c r="C205" s="13"/>
      <c r="D205" s="13"/>
      <c r="E205" s="13"/>
      <c r="F205" s="13"/>
      <c r="G205" s="36"/>
      <c r="H205" s="36"/>
      <c r="I205" s="36"/>
      <c r="J205" s="36"/>
      <c r="K205" s="36"/>
      <c r="L205" s="36"/>
      <c r="M205" s="36"/>
      <c r="N205" s="13"/>
      <c r="O205" s="202"/>
      <c r="P205" s="36"/>
      <c r="Q205" s="52"/>
      <c r="R205" s="52"/>
      <c r="S205" s="52"/>
      <c r="U205" s="202"/>
      <c r="V205" s="202"/>
      <c r="W205" s="202"/>
      <c r="X205" s="202"/>
      <c r="Y205" s="13"/>
      <c r="Z205" s="36"/>
      <c r="AA205" s="13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289"/>
      <c r="AO205" s="289"/>
      <c r="AP205" s="289"/>
      <c r="AQ205" s="36"/>
      <c r="AR205" s="283"/>
      <c r="AS205" s="13"/>
      <c r="AT205" s="13"/>
      <c r="AU205" s="32"/>
      <c r="AV205" s="277"/>
      <c r="AW205" s="277"/>
      <c r="AX205" s="277"/>
      <c r="AY205" s="280"/>
      <c r="AZ205" s="268"/>
      <c r="BA205" s="268"/>
      <c r="BB205" s="13"/>
      <c r="BC205" s="36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</row>
    <row r="206" spans="1:73">
      <c r="A206" s="13"/>
      <c r="B206" s="13"/>
      <c r="C206" s="13"/>
      <c r="D206" s="13"/>
      <c r="E206" s="13"/>
      <c r="F206" s="13"/>
      <c r="G206" s="36"/>
      <c r="H206" s="36"/>
      <c r="I206" s="36"/>
      <c r="J206" s="36"/>
      <c r="K206" s="36"/>
      <c r="L206" s="36"/>
      <c r="M206" s="36"/>
      <c r="N206" s="13"/>
      <c r="O206" s="202"/>
      <c r="P206" s="36"/>
      <c r="Q206" s="52"/>
      <c r="R206" s="52"/>
      <c r="S206" s="52"/>
      <c r="U206" s="202"/>
      <c r="V206" s="202"/>
      <c r="W206" s="202"/>
      <c r="X206" s="202"/>
      <c r="Y206" s="13"/>
      <c r="Z206" s="36"/>
      <c r="AA206" s="13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289"/>
      <c r="AO206" s="289"/>
      <c r="AP206" s="289"/>
      <c r="AQ206" s="36"/>
      <c r="AR206" s="283"/>
      <c r="AS206" s="13"/>
      <c r="AT206" s="13"/>
      <c r="AU206" s="32"/>
      <c r="AV206" s="277"/>
      <c r="AW206" s="277"/>
      <c r="AX206" s="277"/>
      <c r="AY206" s="280"/>
      <c r="AZ206" s="268"/>
      <c r="BA206" s="268"/>
      <c r="BB206" s="13"/>
      <c r="BC206" s="36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</row>
    <row r="207" spans="1:73">
      <c r="A207" s="13"/>
      <c r="B207" s="13"/>
      <c r="C207" s="13"/>
      <c r="D207" s="13"/>
      <c r="E207" s="13"/>
      <c r="F207" s="13"/>
      <c r="G207" s="36"/>
      <c r="H207" s="36"/>
      <c r="I207" s="36"/>
      <c r="J207" s="36"/>
      <c r="K207" s="36"/>
      <c r="L207" s="36"/>
      <c r="M207" s="36"/>
      <c r="N207" s="13"/>
      <c r="O207" s="202"/>
      <c r="P207" s="36"/>
      <c r="Q207" s="52"/>
      <c r="R207" s="52"/>
      <c r="S207" s="52"/>
      <c r="U207" s="202"/>
      <c r="V207" s="202"/>
      <c r="W207" s="202"/>
      <c r="X207" s="202"/>
      <c r="Y207" s="13"/>
      <c r="Z207" s="36"/>
      <c r="AA207" s="13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289"/>
      <c r="AO207" s="289"/>
      <c r="AP207" s="289"/>
      <c r="AQ207" s="36"/>
      <c r="AR207" s="283"/>
      <c r="AS207" s="13"/>
      <c r="AT207" s="13"/>
      <c r="AU207" s="32"/>
      <c r="AV207" s="277"/>
      <c r="AW207" s="277"/>
      <c r="AX207" s="277"/>
      <c r="AY207" s="280"/>
      <c r="AZ207" s="268"/>
      <c r="BA207" s="268"/>
      <c r="BB207" s="13"/>
      <c r="BC207" s="36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</row>
    <row r="208" spans="1:73">
      <c r="A208" s="13"/>
      <c r="B208" s="13"/>
      <c r="C208" s="13"/>
      <c r="D208" s="13"/>
      <c r="E208" s="13"/>
      <c r="F208" s="13"/>
      <c r="G208" s="36"/>
      <c r="H208" s="36"/>
      <c r="I208" s="36"/>
      <c r="J208" s="36"/>
      <c r="K208" s="36"/>
      <c r="L208" s="36"/>
      <c r="M208" s="36"/>
      <c r="N208" s="13"/>
      <c r="O208" s="202"/>
      <c r="P208" s="36"/>
      <c r="Q208" s="52"/>
      <c r="R208" s="52"/>
      <c r="S208" s="52"/>
      <c r="U208" s="202"/>
      <c r="V208" s="202"/>
      <c r="W208" s="202"/>
      <c r="X208" s="202"/>
      <c r="Y208" s="13"/>
      <c r="Z208" s="36"/>
      <c r="AA208" s="13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289"/>
      <c r="AO208" s="289"/>
      <c r="AP208" s="289"/>
      <c r="AQ208" s="36"/>
      <c r="AR208" s="283"/>
      <c r="AS208" s="13"/>
      <c r="AT208" s="13"/>
      <c r="AU208" s="32"/>
      <c r="AV208" s="277"/>
      <c r="AW208" s="277"/>
      <c r="AX208" s="277"/>
      <c r="AY208" s="280"/>
      <c r="AZ208" s="268"/>
      <c r="BA208" s="268"/>
      <c r="BB208" s="13"/>
      <c r="BC208" s="36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</row>
    <row r="209" spans="1:73">
      <c r="A209" s="13"/>
      <c r="B209" s="13"/>
      <c r="C209" s="13"/>
      <c r="D209" s="13"/>
      <c r="E209" s="13"/>
      <c r="F209" s="13"/>
      <c r="G209" s="36"/>
      <c r="H209" s="36"/>
      <c r="I209" s="36"/>
      <c r="J209" s="36"/>
      <c r="K209" s="36"/>
      <c r="L209" s="36"/>
      <c r="M209" s="36"/>
      <c r="N209" s="13"/>
      <c r="O209" s="202"/>
      <c r="P209" s="36"/>
      <c r="Q209" s="52"/>
      <c r="R209" s="52"/>
      <c r="S209" s="52"/>
      <c r="U209" s="202"/>
      <c r="V209" s="202"/>
      <c r="W209" s="202"/>
      <c r="X209" s="202"/>
      <c r="Y209" s="13"/>
      <c r="Z209" s="36"/>
      <c r="AA209" s="13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289"/>
      <c r="AO209" s="289"/>
      <c r="AP209" s="289"/>
      <c r="AQ209" s="36"/>
      <c r="AR209" s="283"/>
      <c r="AS209" s="13"/>
      <c r="AT209" s="13"/>
      <c r="AU209" s="32"/>
      <c r="AV209" s="277"/>
      <c r="AW209" s="277"/>
      <c r="AX209" s="277"/>
      <c r="AY209" s="280"/>
      <c r="AZ209" s="268"/>
      <c r="BA209" s="268"/>
      <c r="BB209" s="13"/>
      <c r="BC209" s="36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</row>
    <row r="210" spans="1:73">
      <c r="A210" s="13"/>
      <c r="B210" s="13"/>
      <c r="C210" s="13"/>
      <c r="D210" s="13"/>
      <c r="E210" s="13"/>
      <c r="F210" s="13"/>
      <c r="G210" s="36"/>
      <c r="H210" s="36"/>
      <c r="I210" s="36"/>
      <c r="J210" s="36"/>
      <c r="K210" s="36"/>
      <c r="L210" s="36"/>
      <c r="M210" s="36"/>
      <c r="N210" s="13"/>
      <c r="O210" s="202"/>
      <c r="P210" s="36"/>
      <c r="Q210" s="52"/>
      <c r="R210" s="52"/>
      <c r="S210" s="52"/>
      <c r="U210" s="202"/>
      <c r="V210" s="202"/>
      <c r="W210" s="202"/>
      <c r="X210" s="202"/>
      <c r="Y210" s="13"/>
      <c r="Z210" s="36"/>
      <c r="AA210" s="13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289"/>
      <c r="AO210" s="289"/>
      <c r="AP210" s="289"/>
      <c r="AQ210" s="36"/>
      <c r="AR210" s="283"/>
      <c r="AS210" s="13"/>
      <c r="AT210" s="13"/>
      <c r="AU210" s="32"/>
      <c r="AV210" s="277"/>
      <c r="AW210" s="277"/>
      <c r="AX210" s="277"/>
      <c r="AY210" s="280"/>
      <c r="AZ210" s="268"/>
      <c r="BA210" s="268"/>
      <c r="BB210" s="13"/>
      <c r="BC210" s="36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</row>
    <row r="211" spans="1:73">
      <c r="A211" s="13"/>
      <c r="B211" s="13"/>
      <c r="C211" s="13"/>
      <c r="D211" s="13"/>
      <c r="E211" s="13"/>
      <c r="F211" s="13"/>
      <c r="G211" s="36"/>
      <c r="H211" s="36"/>
      <c r="I211" s="36"/>
      <c r="J211" s="36"/>
      <c r="K211" s="36"/>
      <c r="L211" s="36"/>
      <c r="M211" s="36"/>
      <c r="N211" s="13"/>
      <c r="O211" s="202"/>
      <c r="P211" s="36"/>
      <c r="Q211" s="52"/>
      <c r="R211" s="52"/>
      <c r="S211" s="52"/>
      <c r="U211" s="202"/>
      <c r="V211" s="202"/>
      <c r="W211" s="202"/>
      <c r="X211" s="202"/>
      <c r="Y211" s="13"/>
      <c r="Z211" s="36"/>
      <c r="AA211" s="13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289"/>
      <c r="AO211" s="289"/>
      <c r="AP211" s="289"/>
      <c r="AQ211" s="36"/>
      <c r="AR211" s="283"/>
      <c r="AS211" s="13"/>
      <c r="AT211" s="13"/>
      <c r="AU211" s="32"/>
      <c r="AV211" s="277"/>
      <c r="AW211" s="277"/>
      <c r="AX211" s="277"/>
      <c r="AY211" s="280"/>
      <c r="AZ211" s="268"/>
      <c r="BA211" s="268"/>
      <c r="BB211" s="13"/>
      <c r="BC211" s="36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</row>
    <row r="212" spans="1:73">
      <c r="A212" s="13"/>
      <c r="B212" s="13"/>
      <c r="C212" s="13"/>
      <c r="D212" s="13"/>
      <c r="E212" s="13"/>
      <c r="F212" s="13"/>
      <c r="G212" s="36"/>
      <c r="H212" s="36"/>
      <c r="I212" s="36"/>
      <c r="J212" s="36"/>
      <c r="K212" s="36"/>
      <c r="L212" s="36"/>
      <c r="M212" s="36"/>
      <c r="N212" s="13"/>
      <c r="O212" s="202"/>
      <c r="P212" s="36"/>
      <c r="Q212" s="52"/>
      <c r="R212" s="52"/>
      <c r="S212" s="52"/>
      <c r="U212" s="202"/>
      <c r="V212" s="202"/>
      <c r="W212" s="202"/>
      <c r="X212" s="202"/>
      <c r="Y212" s="13"/>
      <c r="Z212" s="36"/>
      <c r="AA212" s="13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289"/>
      <c r="AO212" s="289"/>
      <c r="AP212" s="289"/>
      <c r="AQ212" s="36"/>
      <c r="AR212" s="283"/>
      <c r="AS212" s="13"/>
      <c r="AT212" s="13"/>
      <c r="AU212" s="32"/>
      <c r="AV212" s="277"/>
      <c r="AW212" s="277"/>
      <c r="AX212" s="277"/>
      <c r="AY212" s="280"/>
      <c r="AZ212" s="268"/>
      <c r="BA212" s="268"/>
      <c r="BB212" s="13"/>
      <c r="BC212" s="36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</row>
    <row r="213" spans="1:73">
      <c r="A213" s="13"/>
      <c r="B213" s="13"/>
      <c r="C213" s="13"/>
      <c r="D213" s="13"/>
      <c r="E213" s="13"/>
      <c r="F213" s="13"/>
      <c r="G213" s="36"/>
      <c r="H213" s="36"/>
      <c r="I213" s="36"/>
      <c r="J213" s="36"/>
      <c r="K213" s="36"/>
      <c r="L213" s="36"/>
      <c r="M213" s="36"/>
      <c r="N213" s="13"/>
      <c r="O213" s="202"/>
      <c r="P213" s="36"/>
      <c r="Q213" s="52"/>
      <c r="R213" s="52"/>
      <c r="S213" s="52"/>
      <c r="U213" s="202"/>
      <c r="V213" s="202"/>
      <c r="W213" s="202"/>
      <c r="X213" s="202"/>
      <c r="Y213" s="13"/>
      <c r="Z213" s="36"/>
      <c r="AA213" s="13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289"/>
      <c r="AO213" s="289"/>
      <c r="AP213" s="289"/>
      <c r="AQ213" s="36"/>
      <c r="AR213" s="283"/>
      <c r="AS213" s="13"/>
      <c r="AT213" s="13"/>
      <c r="AU213" s="32"/>
      <c r="AV213" s="277"/>
      <c r="AW213" s="277"/>
      <c r="AX213" s="277"/>
      <c r="AY213" s="280"/>
      <c r="AZ213" s="268"/>
      <c r="BA213" s="268"/>
      <c r="BB213" s="13"/>
      <c r="BC213" s="36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</row>
    <row r="214" spans="1:73">
      <c r="A214" s="13"/>
      <c r="B214" s="13"/>
      <c r="C214" s="13"/>
      <c r="D214" s="13"/>
      <c r="E214" s="13"/>
      <c r="F214" s="13"/>
      <c r="G214" s="36"/>
      <c r="H214" s="36"/>
      <c r="I214" s="36"/>
      <c r="J214" s="36"/>
      <c r="K214" s="36"/>
      <c r="L214" s="36"/>
      <c r="M214" s="36"/>
      <c r="N214" s="13"/>
      <c r="O214" s="202"/>
      <c r="P214" s="36"/>
      <c r="Q214" s="52"/>
      <c r="R214" s="52"/>
      <c r="S214" s="52"/>
      <c r="U214" s="202"/>
      <c r="V214" s="202"/>
      <c r="W214" s="202"/>
      <c r="X214" s="202"/>
      <c r="Y214" s="13"/>
      <c r="Z214" s="36"/>
      <c r="AA214" s="13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289"/>
      <c r="AO214" s="289"/>
      <c r="AP214" s="289"/>
      <c r="AQ214" s="36"/>
      <c r="AR214" s="283"/>
      <c r="AS214" s="13"/>
      <c r="AT214" s="13"/>
      <c r="AU214" s="32"/>
      <c r="AV214" s="277"/>
      <c r="AW214" s="277"/>
      <c r="AX214" s="277"/>
      <c r="AY214" s="280"/>
      <c r="AZ214" s="268"/>
      <c r="BA214" s="268"/>
      <c r="BB214" s="13"/>
      <c r="BC214" s="36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</row>
    <row r="215" spans="1:73">
      <c r="A215" s="13"/>
      <c r="B215" s="13"/>
      <c r="C215" s="13"/>
      <c r="D215" s="13"/>
      <c r="E215" s="13"/>
      <c r="F215" s="13"/>
      <c r="G215" s="36"/>
      <c r="H215" s="36"/>
      <c r="I215" s="36"/>
      <c r="J215" s="36"/>
      <c r="K215" s="36"/>
      <c r="L215" s="36"/>
      <c r="M215" s="36"/>
      <c r="N215" s="13"/>
      <c r="O215" s="202"/>
      <c r="P215" s="36"/>
      <c r="Q215" s="52"/>
      <c r="R215" s="52"/>
      <c r="S215" s="52"/>
      <c r="U215" s="202"/>
      <c r="V215" s="202"/>
      <c r="W215" s="202"/>
      <c r="X215" s="202"/>
      <c r="Y215" s="13"/>
      <c r="Z215" s="36"/>
      <c r="AA215" s="13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289"/>
      <c r="AO215" s="289"/>
      <c r="AP215" s="289"/>
      <c r="AQ215" s="36"/>
      <c r="AR215" s="283"/>
      <c r="AS215" s="13"/>
      <c r="AT215" s="13"/>
      <c r="AU215" s="32"/>
      <c r="AV215" s="277"/>
      <c r="AW215" s="277"/>
      <c r="AX215" s="277"/>
      <c r="AY215" s="280"/>
      <c r="AZ215" s="268"/>
      <c r="BA215" s="268"/>
      <c r="BB215" s="13"/>
      <c r="BC215" s="36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</row>
    <row r="216" spans="1:73">
      <c r="A216" s="13"/>
      <c r="B216" s="13"/>
      <c r="C216" s="13"/>
      <c r="D216" s="13"/>
      <c r="E216" s="13"/>
      <c r="F216" s="13"/>
      <c r="G216" s="36"/>
      <c r="H216" s="36"/>
      <c r="I216" s="36"/>
      <c r="J216" s="36"/>
      <c r="K216" s="36"/>
      <c r="L216" s="36"/>
      <c r="M216" s="36"/>
      <c r="N216" s="13"/>
      <c r="O216" s="202"/>
      <c r="P216" s="36"/>
      <c r="Q216" s="52"/>
      <c r="R216" s="52"/>
      <c r="S216" s="52"/>
      <c r="U216" s="202"/>
      <c r="V216" s="202"/>
      <c r="W216" s="202"/>
      <c r="X216" s="202"/>
      <c r="Y216" s="13"/>
      <c r="Z216" s="36"/>
      <c r="AA216" s="13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289"/>
      <c r="AO216" s="289"/>
      <c r="AP216" s="289"/>
      <c r="AQ216" s="36"/>
      <c r="AR216" s="283"/>
      <c r="AS216" s="13"/>
      <c r="AT216" s="13"/>
      <c r="AU216" s="32"/>
      <c r="AV216" s="277"/>
      <c r="AW216" s="277"/>
      <c r="AX216" s="277"/>
      <c r="AY216" s="280"/>
      <c r="AZ216" s="268"/>
      <c r="BA216" s="268"/>
      <c r="BB216" s="13"/>
      <c r="BC216" s="36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</row>
    <row r="217" spans="1:73">
      <c r="A217" s="13"/>
      <c r="B217" s="13"/>
      <c r="C217" s="13"/>
      <c r="D217" s="13"/>
      <c r="E217" s="13"/>
      <c r="F217" s="13"/>
      <c r="G217" s="36"/>
      <c r="H217" s="36"/>
      <c r="I217" s="36"/>
      <c r="J217" s="36"/>
      <c r="K217" s="36"/>
      <c r="L217" s="36"/>
      <c r="M217" s="36"/>
      <c r="N217" s="13"/>
      <c r="O217" s="202"/>
      <c r="P217" s="36"/>
      <c r="Q217" s="52"/>
      <c r="R217" s="52"/>
      <c r="S217" s="52"/>
      <c r="U217" s="202"/>
      <c r="V217" s="202"/>
      <c r="W217" s="202"/>
      <c r="X217" s="202"/>
      <c r="Y217" s="13"/>
      <c r="Z217" s="36"/>
      <c r="AA217" s="13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289"/>
      <c r="AO217" s="289"/>
      <c r="AP217" s="289"/>
      <c r="AQ217" s="36"/>
      <c r="AR217" s="283"/>
      <c r="AS217" s="13"/>
      <c r="AT217" s="13"/>
      <c r="AU217" s="32"/>
      <c r="AV217" s="277"/>
      <c r="AW217" s="277"/>
      <c r="AX217" s="277"/>
      <c r="AY217" s="280"/>
      <c r="AZ217" s="268"/>
      <c r="BA217" s="268"/>
      <c r="BB217" s="13"/>
      <c r="BC217" s="36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</row>
    <row r="218" spans="1:73">
      <c r="A218" s="13"/>
      <c r="B218" s="13"/>
      <c r="C218" s="13"/>
      <c r="D218" s="13"/>
      <c r="E218" s="13"/>
      <c r="F218" s="13"/>
      <c r="G218" s="36"/>
      <c r="H218" s="36"/>
      <c r="I218" s="36"/>
      <c r="J218" s="36"/>
      <c r="K218" s="36"/>
      <c r="L218" s="36"/>
      <c r="M218" s="36"/>
      <c r="N218" s="13"/>
      <c r="O218" s="202"/>
      <c r="P218" s="36"/>
      <c r="Q218" s="52"/>
      <c r="R218" s="52"/>
      <c r="S218" s="52"/>
      <c r="U218" s="202"/>
      <c r="V218" s="202"/>
      <c r="W218" s="202"/>
      <c r="X218" s="202"/>
      <c r="Y218" s="13"/>
      <c r="Z218" s="36"/>
      <c r="AA218" s="13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289"/>
      <c r="AO218" s="289"/>
      <c r="AP218" s="289"/>
      <c r="AQ218" s="36"/>
      <c r="AR218" s="283"/>
      <c r="AS218" s="13"/>
      <c r="AT218" s="13"/>
      <c r="AU218" s="32"/>
      <c r="AV218" s="277"/>
      <c r="AW218" s="277"/>
      <c r="AX218" s="277"/>
      <c r="AY218" s="280"/>
      <c r="AZ218" s="268"/>
      <c r="BA218" s="268"/>
      <c r="BB218" s="13"/>
      <c r="BC218" s="36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</row>
    <row r="219" spans="1:73">
      <c r="A219" s="13"/>
      <c r="B219" s="13"/>
      <c r="C219" s="13"/>
      <c r="D219" s="13"/>
      <c r="E219" s="13"/>
      <c r="F219" s="13"/>
      <c r="G219" s="36"/>
      <c r="H219" s="36"/>
      <c r="I219" s="36"/>
      <c r="J219" s="36"/>
      <c r="K219" s="36"/>
      <c r="L219" s="36"/>
      <c r="M219" s="36"/>
      <c r="N219" s="13"/>
      <c r="O219" s="202"/>
      <c r="P219" s="36"/>
      <c r="Q219" s="52"/>
      <c r="R219" s="52"/>
      <c r="S219" s="52"/>
      <c r="U219" s="202"/>
      <c r="V219" s="202"/>
      <c r="W219" s="202"/>
      <c r="X219" s="202"/>
      <c r="Y219" s="13"/>
      <c r="Z219" s="36"/>
      <c r="AA219" s="13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289"/>
      <c r="AO219" s="289"/>
      <c r="AP219" s="289"/>
      <c r="AQ219" s="36"/>
      <c r="AR219" s="283"/>
      <c r="AS219" s="13"/>
      <c r="AT219" s="13"/>
      <c r="AU219" s="32"/>
      <c r="AV219" s="277"/>
      <c r="AW219" s="277"/>
      <c r="AX219" s="277"/>
      <c r="AY219" s="280"/>
      <c r="AZ219" s="268"/>
      <c r="BA219" s="268"/>
      <c r="BB219" s="13"/>
      <c r="BC219" s="36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</row>
    <row r="220" spans="1:73">
      <c r="A220" s="13"/>
      <c r="B220" s="13"/>
      <c r="C220" s="13"/>
      <c r="D220" s="13"/>
      <c r="E220" s="13"/>
      <c r="F220" s="13"/>
      <c r="G220" s="36"/>
      <c r="H220" s="36"/>
      <c r="I220" s="36"/>
      <c r="J220" s="36"/>
      <c r="K220" s="36"/>
      <c r="L220" s="36"/>
      <c r="M220" s="36"/>
      <c r="N220" s="13"/>
      <c r="O220" s="202"/>
      <c r="P220" s="36"/>
      <c r="Q220" s="52"/>
      <c r="R220" s="52"/>
      <c r="S220" s="52"/>
      <c r="U220" s="202"/>
      <c r="V220" s="202"/>
      <c r="W220" s="202"/>
      <c r="X220" s="202"/>
      <c r="Y220" s="13"/>
      <c r="Z220" s="36"/>
      <c r="AA220" s="13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289"/>
      <c r="AO220" s="289"/>
      <c r="AP220" s="289"/>
      <c r="AQ220" s="36"/>
      <c r="AR220" s="283"/>
      <c r="AS220" s="13"/>
      <c r="AT220" s="13"/>
      <c r="AU220" s="32"/>
      <c r="AV220" s="277"/>
      <c r="AW220" s="277"/>
      <c r="AX220" s="277"/>
      <c r="AY220" s="280"/>
      <c r="AZ220" s="268"/>
      <c r="BA220" s="268"/>
      <c r="BB220" s="13"/>
      <c r="BC220" s="36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</row>
    <row r="221" spans="1:73">
      <c r="A221" s="13"/>
      <c r="B221" s="13"/>
      <c r="C221" s="13"/>
      <c r="D221" s="13"/>
      <c r="E221" s="13"/>
      <c r="F221" s="13"/>
      <c r="G221" s="36"/>
      <c r="H221" s="36"/>
      <c r="I221" s="36"/>
      <c r="J221" s="36"/>
      <c r="K221" s="36"/>
      <c r="L221" s="36"/>
      <c r="M221" s="36"/>
      <c r="N221" s="13"/>
      <c r="O221" s="202"/>
      <c r="P221" s="36"/>
      <c r="Q221" s="52"/>
      <c r="R221" s="52"/>
      <c r="S221" s="52"/>
      <c r="U221" s="202"/>
      <c r="V221" s="202"/>
      <c r="W221" s="202"/>
      <c r="X221" s="202"/>
      <c r="Y221" s="13"/>
      <c r="Z221" s="36"/>
      <c r="AA221" s="13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289"/>
      <c r="AO221" s="289"/>
      <c r="AP221" s="289"/>
      <c r="AQ221" s="36"/>
      <c r="AR221" s="283"/>
      <c r="AS221" s="13"/>
      <c r="AT221" s="13"/>
      <c r="AU221" s="32"/>
      <c r="AV221" s="277"/>
      <c r="AW221" s="277"/>
      <c r="AX221" s="277"/>
      <c r="AY221" s="280"/>
      <c r="AZ221" s="268"/>
      <c r="BA221" s="268"/>
      <c r="BB221" s="13"/>
      <c r="BC221" s="36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</row>
    <row r="222" spans="1:73">
      <c r="A222" s="13"/>
      <c r="B222" s="13"/>
      <c r="C222" s="13"/>
      <c r="D222" s="13"/>
      <c r="E222" s="13"/>
      <c r="F222" s="13"/>
      <c r="G222" s="36"/>
      <c r="H222" s="36"/>
      <c r="I222" s="36"/>
      <c r="J222" s="36"/>
      <c r="K222" s="36"/>
      <c r="L222" s="36"/>
      <c r="M222" s="36"/>
      <c r="N222" s="13"/>
      <c r="O222" s="202"/>
      <c r="P222" s="36"/>
      <c r="Q222" s="52"/>
      <c r="R222" s="52"/>
      <c r="S222" s="52"/>
      <c r="U222" s="202"/>
      <c r="V222" s="202"/>
      <c r="W222" s="202"/>
      <c r="X222" s="202"/>
      <c r="Y222" s="13"/>
      <c r="Z222" s="36"/>
      <c r="AA222" s="13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289"/>
      <c r="AO222" s="289"/>
      <c r="AP222" s="289"/>
      <c r="AQ222" s="36"/>
      <c r="AR222" s="283"/>
      <c r="AS222" s="13"/>
      <c r="AT222" s="13"/>
      <c r="AU222" s="32"/>
      <c r="AV222" s="277"/>
      <c r="AW222" s="277"/>
      <c r="AX222" s="277"/>
      <c r="AY222" s="280"/>
      <c r="AZ222" s="268"/>
      <c r="BA222" s="268"/>
      <c r="BB222" s="13"/>
      <c r="BC222" s="36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</row>
    <row r="223" spans="1:73">
      <c r="A223" s="13"/>
      <c r="B223" s="13"/>
      <c r="C223" s="13"/>
      <c r="D223" s="13"/>
      <c r="E223" s="13"/>
      <c r="F223" s="13"/>
      <c r="G223" s="36"/>
      <c r="H223" s="36"/>
      <c r="I223" s="36"/>
      <c r="J223" s="36"/>
      <c r="K223" s="36"/>
      <c r="L223" s="36"/>
      <c r="M223" s="36"/>
      <c r="N223" s="13"/>
      <c r="O223" s="202"/>
      <c r="P223" s="36"/>
      <c r="Q223" s="52"/>
      <c r="R223" s="52"/>
      <c r="S223" s="52"/>
      <c r="U223" s="202"/>
      <c r="V223" s="202"/>
      <c r="W223" s="202"/>
      <c r="X223" s="202"/>
      <c r="Y223" s="13"/>
      <c r="Z223" s="36"/>
      <c r="AA223" s="13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289"/>
      <c r="AO223" s="289"/>
      <c r="AP223" s="289"/>
      <c r="AQ223" s="36"/>
      <c r="AR223" s="283"/>
      <c r="AS223" s="13"/>
      <c r="AT223" s="13"/>
      <c r="AU223" s="32"/>
      <c r="AV223" s="277"/>
      <c r="AW223" s="277"/>
      <c r="AX223" s="277"/>
      <c r="AY223" s="280"/>
      <c r="AZ223" s="268"/>
      <c r="BA223" s="268"/>
      <c r="BB223" s="13"/>
      <c r="BC223" s="36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</row>
    <row r="224" spans="1:73">
      <c r="A224" s="13"/>
      <c r="B224" s="13"/>
      <c r="C224" s="13"/>
      <c r="D224" s="13"/>
      <c r="E224" s="13"/>
      <c r="F224" s="13"/>
      <c r="G224" s="36"/>
      <c r="H224" s="36"/>
      <c r="I224" s="36"/>
      <c r="J224" s="36"/>
      <c r="K224" s="36"/>
      <c r="L224" s="36"/>
      <c r="M224" s="36"/>
      <c r="N224" s="13"/>
      <c r="O224" s="202"/>
      <c r="P224" s="36"/>
      <c r="Q224" s="52"/>
      <c r="R224" s="52"/>
      <c r="S224" s="52"/>
      <c r="U224" s="202"/>
      <c r="V224" s="202"/>
      <c r="W224" s="202"/>
      <c r="X224" s="202"/>
      <c r="Y224" s="13"/>
      <c r="Z224" s="36"/>
      <c r="AA224" s="13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289"/>
      <c r="AO224" s="289"/>
      <c r="AP224" s="289"/>
      <c r="AQ224" s="36"/>
      <c r="AR224" s="283"/>
      <c r="AS224" s="13"/>
      <c r="AT224" s="13"/>
      <c r="AU224" s="32"/>
      <c r="AV224" s="277"/>
      <c r="AW224" s="277"/>
      <c r="AX224" s="277"/>
      <c r="AY224" s="280"/>
      <c r="AZ224" s="268"/>
      <c r="BA224" s="268"/>
      <c r="BB224" s="13"/>
      <c r="BC224" s="36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</row>
    <row r="225" spans="1:73">
      <c r="A225" s="13"/>
      <c r="B225" s="13"/>
      <c r="C225" s="13"/>
      <c r="D225" s="13"/>
      <c r="E225" s="13"/>
      <c r="F225" s="13"/>
      <c r="G225" s="36"/>
      <c r="H225" s="36"/>
      <c r="I225" s="36"/>
      <c r="J225" s="36"/>
      <c r="K225" s="36"/>
      <c r="L225" s="36"/>
      <c r="M225" s="36"/>
      <c r="N225" s="13"/>
      <c r="O225" s="202"/>
      <c r="P225" s="36"/>
      <c r="Q225" s="52"/>
      <c r="R225" s="52"/>
      <c r="S225" s="52"/>
      <c r="U225" s="202"/>
      <c r="V225" s="202"/>
      <c r="W225" s="202"/>
      <c r="X225" s="202"/>
      <c r="Y225" s="13"/>
      <c r="Z225" s="36"/>
      <c r="AA225" s="13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289"/>
      <c r="AO225" s="289"/>
      <c r="AP225" s="289"/>
      <c r="AQ225" s="36"/>
      <c r="AR225" s="283"/>
      <c r="AS225" s="13"/>
      <c r="AT225" s="13"/>
      <c r="AU225" s="32"/>
      <c r="AV225" s="277"/>
      <c r="AW225" s="277"/>
      <c r="AX225" s="277"/>
      <c r="AY225" s="280"/>
      <c r="AZ225" s="268"/>
      <c r="BA225" s="268"/>
      <c r="BB225" s="13"/>
      <c r="BC225" s="36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</row>
    <row r="226" spans="1:73">
      <c r="A226" s="13"/>
      <c r="B226" s="13"/>
      <c r="C226" s="13"/>
      <c r="D226" s="13"/>
      <c r="E226" s="13"/>
      <c r="F226" s="13"/>
      <c r="G226" s="36"/>
      <c r="H226" s="36"/>
      <c r="I226" s="36"/>
      <c r="J226" s="36"/>
      <c r="K226" s="36"/>
      <c r="L226" s="36"/>
      <c r="M226" s="36"/>
      <c r="N226" s="13"/>
      <c r="O226" s="202"/>
      <c r="P226" s="36"/>
      <c r="Q226" s="52"/>
      <c r="R226" s="52"/>
      <c r="S226" s="52"/>
      <c r="U226" s="202"/>
      <c r="V226" s="202"/>
      <c r="W226" s="202"/>
      <c r="X226" s="202"/>
      <c r="Y226" s="13"/>
      <c r="Z226" s="36"/>
      <c r="AA226" s="13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289"/>
      <c r="AO226" s="289"/>
      <c r="AP226" s="289"/>
      <c r="AQ226" s="36"/>
      <c r="AR226" s="283"/>
      <c r="AS226" s="13"/>
      <c r="AT226" s="13"/>
      <c r="AU226" s="32"/>
      <c r="AV226" s="277"/>
      <c r="AW226" s="277"/>
      <c r="AX226" s="277"/>
      <c r="AY226" s="280"/>
      <c r="AZ226" s="268"/>
      <c r="BA226" s="268"/>
      <c r="BB226" s="13"/>
      <c r="BC226" s="36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</row>
    <row r="227" spans="1:73">
      <c r="A227" s="13"/>
      <c r="B227" s="13"/>
      <c r="C227" s="13"/>
      <c r="D227" s="13"/>
      <c r="E227" s="13"/>
      <c r="F227" s="13"/>
      <c r="G227" s="36"/>
      <c r="H227" s="36"/>
      <c r="I227" s="36"/>
      <c r="J227" s="36"/>
      <c r="K227" s="36"/>
      <c r="L227" s="36"/>
      <c r="M227" s="36"/>
      <c r="N227" s="13"/>
      <c r="O227" s="202"/>
      <c r="P227" s="36"/>
      <c r="Q227" s="52"/>
      <c r="R227" s="52"/>
      <c r="S227" s="52"/>
      <c r="U227" s="202"/>
      <c r="V227" s="202"/>
      <c r="W227" s="202"/>
      <c r="X227" s="202"/>
      <c r="Y227" s="13"/>
      <c r="Z227" s="36"/>
      <c r="AA227" s="13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289"/>
      <c r="AO227" s="289"/>
      <c r="AP227" s="289"/>
      <c r="AQ227" s="36"/>
      <c r="AR227" s="283"/>
      <c r="AS227" s="13"/>
      <c r="AT227" s="13"/>
      <c r="AU227" s="32"/>
      <c r="AV227" s="277"/>
      <c r="AW227" s="277"/>
      <c r="AX227" s="277"/>
      <c r="AY227" s="280"/>
      <c r="AZ227" s="268"/>
      <c r="BA227" s="268"/>
      <c r="BB227" s="13"/>
      <c r="BC227" s="36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</row>
    <row r="228" spans="1:73">
      <c r="A228" s="13"/>
      <c r="B228" s="13"/>
      <c r="C228" s="13"/>
      <c r="D228" s="13"/>
      <c r="E228" s="13"/>
      <c r="F228" s="13"/>
      <c r="G228" s="36"/>
      <c r="H228" s="36"/>
      <c r="I228" s="36"/>
      <c r="J228" s="36"/>
      <c r="K228" s="36"/>
      <c r="L228" s="36"/>
      <c r="M228" s="36"/>
      <c r="N228" s="13"/>
      <c r="O228" s="202"/>
      <c r="P228" s="36"/>
      <c r="Q228" s="52"/>
      <c r="R228" s="52"/>
      <c r="S228" s="52"/>
      <c r="U228" s="202"/>
      <c r="V228" s="202"/>
      <c r="W228" s="202"/>
      <c r="X228" s="202"/>
      <c r="Y228" s="13"/>
      <c r="Z228" s="36"/>
      <c r="AA228" s="13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289"/>
      <c r="AO228" s="289"/>
      <c r="AP228" s="289"/>
      <c r="AQ228" s="36"/>
      <c r="AR228" s="283"/>
      <c r="AS228" s="13"/>
      <c r="AT228" s="13"/>
      <c r="AU228" s="32"/>
      <c r="AV228" s="277"/>
      <c r="AW228" s="277"/>
      <c r="AX228" s="277"/>
      <c r="AY228" s="280"/>
      <c r="AZ228" s="268"/>
      <c r="BA228" s="268"/>
      <c r="BB228" s="13"/>
      <c r="BC228" s="36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</row>
    <row r="229" spans="1:73">
      <c r="A229" s="13"/>
      <c r="B229" s="13"/>
      <c r="C229" s="13"/>
      <c r="D229" s="13"/>
      <c r="E229" s="13"/>
      <c r="F229" s="13"/>
      <c r="G229" s="36"/>
      <c r="H229" s="36"/>
      <c r="I229" s="36"/>
      <c r="J229" s="36"/>
      <c r="K229" s="36"/>
      <c r="L229" s="36"/>
      <c r="M229" s="36"/>
      <c r="N229" s="13"/>
      <c r="O229" s="202"/>
      <c r="P229" s="36"/>
      <c r="Q229" s="52"/>
      <c r="R229" s="52"/>
      <c r="S229" s="52"/>
      <c r="U229" s="202"/>
      <c r="V229" s="202"/>
      <c r="W229" s="202"/>
      <c r="X229" s="202"/>
      <c r="Y229" s="13"/>
      <c r="Z229" s="36"/>
      <c r="AA229" s="13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289"/>
      <c r="AO229" s="289"/>
      <c r="AP229" s="289"/>
      <c r="AQ229" s="36"/>
      <c r="AR229" s="283"/>
      <c r="AS229" s="13"/>
      <c r="AT229" s="13"/>
      <c r="AU229" s="32"/>
      <c r="AV229" s="277"/>
      <c r="AW229" s="277"/>
      <c r="AX229" s="277"/>
      <c r="AY229" s="280"/>
      <c r="AZ229" s="268"/>
      <c r="BA229" s="268"/>
      <c r="BB229" s="13"/>
      <c r="BC229" s="36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</row>
    <row r="230" spans="1:73">
      <c r="A230" s="13"/>
      <c r="B230" s="13"/>
      <c r="C230" s="13"/>
      <c r="D230" s="13"/>
      <c r="E230" s="13"/>
      <c r="F230" s="13"/>
      <c r="G230" s="36"/>
      <c r="H230" s="36"/>
      <c r="I230" s="36"/>
      <c r="J230" s="36"/>
      <c r="K230" s="36"/>
      <c r="L230" s="36"/>
      <c r="M230" s="36"/>
      <c r="N230" s="13"/>
      <c r="O230" s="202"/>
      <c r="P230" s="36"/>
      <c r="Q230" s="52"/>
      <c r="R230" s="52"/>
      <c r="S230" s="52"/>
      <c r="U230" s="202"/>
      <c r="V230" s="202"/>
      <c r="W230" s="202"/>
      <c r="X230" s="202"/>
      <c r="Y230" s="13"/>
      <c r="Z230" s="36"/>
      <c r="AA230" s="13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289"/>
      <c r="AO230" s="289"/>
      <c r="AP230" s="289"/>
      <c r="AQ230" s="36"/>
      <c r="AR230" s="283"/>
      <c r="AS230" s="13"/>
      <c r="AT230" s="13"/>
      <c r="AU230" s="32"/>
      <c r="AV230" s="277"/>
      <c r="AW230" s="277"/>
      <c r="AX230" s="277"/>
      <c r="AY230" s="280"/>
      <c r="AZ230" s="268"/>
      <c r="BA230" s="268"/>
      <c r="BB230" s="13"/>
      <c r="BC230" s="36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</row>
    <row r="231" spans="1:73">
      <c r="A231" s="13"/>
      <c r="B231" s="13"/>
      <c r="C231" s="13"/>
      <c r="D231" s="13"/>
      <c r="E231" s="13"/>
      <c r="F231" s="13"/>
      <c r="G231" s="36"/>
      <c r="H231" s="36"/>
      <c r="I231" s="36"/>
      <c r="J231" s="36"/>
      <c r="K231" s="36"/>
      <c r="L231" s="36"/>
      <c r="M231" s="36"/>
      <c r="N231" s="13"/>
      <c r="O231" s="202"/>
      <c r="P231" s="36"/>
      <c r="Q231" s="52"/>
      <c r="R231" s="52"/>
      <c r="S231" s="52"/>
      <c r="U231" s="202"/>
      <c r="V231" s="202"/>
      <c r="W231" s="202"/>
      <c r="X231" s="202"/>
      <c r="Y231" s="13"/>
      <c r="Z231" s="36"/>
      <c r="AA231" s="13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289"/>
      <c r="AO231" s="289"/>
      <c r="AP231" s="289"/>
      <c r="AQ231" s="36"/>
      <c r="AR231" s="283"/>
      <c r="AS231" s="13"/>
      <c r="AT231" s="13"/>
      <c r="AU231" s="32"/>
      <c r="AV231" s="277"/>
      <c r="AW231" s="277"/>
      <c r="AX231" s="277"/>
      <c r="AY231" s="280"/>
      <c r="AZ231" s="268"/>
      <c r="BA231" s="268"/>
      <c r="BB231" s="13"/>
      <c r="BC231" s="36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</row>
    <row r="232" spans="1:73">
      <c r="A232" s="13"/>
      <c r="B232" s="13"/>
      <c r="C232" s="13"/>
      <c r="D232" s="13"/>
      <c r="E232" s="13"/>
      <c r="F232" s="13"/>
      <c r="G232" s="36"/>
      <c r="H232" s="36"/>
      <c r="I232" s="36"/>
      <c r="J232" s="36"/>
      <c r="K232" s="36"/>
      <c r="L232" s="36"/>
      <c r="M232" s="36"/>
      <c r="N232" s="13"/>
      <c r="O232" s="202"/>
      <c r="P232" s="36"/>
      <c r="Q232" s="52"/>
      <c r="R232" s="52"/>
      <c r="S232" s="52"/>
      <c r="U232" s="202"/>
      <c r="V232" s="202"/>
      <c r="W232" s="202"/>
      <c r="X232" s="202"/>
      <c r="Y232" s="13"/>
      <c r="Z232" s="36"/>
      <c r="AA232" s="13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289"/>
      <c r="AO232" s="289"/>
      <c r="AP232" s="289"/>
      <c r="AQ232" s="36"/>
      <c r="AR232" s="283"/>
      <c r="AS232" s="13"/>
      <c r="AT232" s="13"/>
      <c r="AU232" s="32"/>
      <c r="AV232" s="277"/>
      <c r="AW232" s="277"/>
      <c r="AX232" s="277"/>
      <c r="AY232" s="280"/>
      <c r="AZ232" s="268"/>
      <c r="BA232" s="268"/>
      <c r="BB232" s="13"/>
      <c r="BC232" s="36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</row>
    <row r="233" spans="1:73">
      <c r="A233" s="13"/>
      <c r="B233" s="13"/>
      <c r="C233" s="13"/>
      <c r="D233" s="13"/>
      <c r="E233" s="13"/>
      <c r="F233" s="13"/>
      <c r="G233" s="36"/>
      <c r="H233" s="36"/>
      <c r="I233" s="36"/>
      <c r="J233" s="36"/>
      <c r="K233" s="36"/>
      <c r="L233" s="36"/>
      <c r="M233" s="36"/>
      <c r="N233" s="13"/>
      <c r="O233" s="202"/>
      <c r="P233" s="36"/>
      <c r="Q233" s="52"/>
      <c r="R233" s="52"/>
      <c r="S233" s="52"/>
      <c r="U233" s="202"/>
      <c r="V233" s="202"/>
      <c r="W233" s="202"/>
      <c r="X233" s="202"/>
      <c r="Y233" s="13"/>
      <c r="Z233" s="36"/>
      <c r="AA233" s="13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289"/>
      <c r="AO233" s="289"/>
      <c r="AP233" s="289"/>
      <c r="AQ233" s="36"/>
      <c r="AR233" s="283"/>
      <c r="AS233" s="13"/>
      <c r="AT233" s="13"/>
      <c r="AU233" s="32"/>
      <c r="AV233" s="277"/>
      <c r="AW233" s="277"/>
      <c r="AX233" s="277"/>
      <c r="AY233" s="280"/>
      <c r="AZ233" s="268"/>
      <c r="BA233" s="268"/>
      <c r="BB233" s="13"/>
      <c r="BC233" s="36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</row>
    <row r="234" spans="1:73">
      <c r="A234" s="13"/>
      <c r="B234" s="13"/>
      <c r="C234" s="13"/>
      <c r="D234" s="13"/>
      <c r="E234" s="13"/>
      <c r="F234" s="13"/>
      <c r="G234" s="36"/>
      <c r="H234" s="36"/>
      <c r="I234" s="36"/>
      <c r="J234" s="36"/>
      <c r="K234" s="36"/>
      <c r="L234" s="36"/>
      <c r="M234" s="36"/>
      <c r="N234" s="13"/>
      <c r="O234" s="202"/>
      <c r="P234" s="36"/>
      <c r="Q234" s="52"/>
      <c r="R234" s="52"/>
      <c r="S234" s="52"/>
      <c r="U234" s="202"/>
      <c r="V234" s="202"/>
      <c r="W234" s="202"/>
      <c r="X234" s="202"/>
      <c r="Y234" s="13"/>
      <c r="Z234" s="36"/>
      <c r="AA234" s="13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289"/>
      <c r="AO234" s="289"/>
      <c r="AP234" s="289"/>
      <c r="AQ234" s="36"/>
      <c r="AR234" s="283"/>
      <c r="AS234" s="13"/>
      <c r="AT234" s="13"/>
      <c r="AU234" s="32"/>
      <c r="AV234" s="277"/>
      <c r="AW234" s="277"/>
      <c r="AX234" s="277"/>
      <c r="AY234" s="280"/>
      <c r="AZ234" s="268"/>
      <c r="BA234" s="268"/>
      <c r="BB234" s="13"/>
      <c r="BC234" s="36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</row>
    <row r="235" spans="1:73">
      <c r="A235" s="13"/>
      <c r="B235" s="13"/>
      <c r="C235" s="13"/>
      <c r="D235" s="13"/>
      <c r="E235" s="13"/>
      <c r="F235" s="13"/>
      <c r="G235" s="36"/>
      <c r="H235" s="36"/>
      <c r="I235" s="36"/>
      <c r="J235" s="36"/>
      <c r="K235" s="36"/>
      <c r="L235" s="36"/>
      <c r="M235" s="36"/>
      <c r="N235" s="13"/>
      <c r="O235" s="202"/>
      <c r="P235" s="36"/>
      <c r="Q235" s="52"/>
      <c r="R235" s="52"/>
      <c r="S235" s="52"/>
      <c r="U235" s="202"/>
      <c r="V235" s="202"/>
      <c r="W235" s="202"/>
      <c r="X235" s="202"/>
      <c r="Y235" s="13"/>
      <c r="Z235" s="36"/>
      <c r="AA235" s="13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289"/>
      <c r="AO235" s="289"/>
      <c r="AP235" s="289"/>
      <c r="AQ235" s="36"/>
      <c r="AR235" s="283"/>
      <c r="AS235" s="13"/>
      <c r="AT235" s="13"/>
      <c r="AU235" s="32"/>
      <c r="AV235" s="277"/>
      <c r="AW235" s="277"/>
      <c r="AX235" s="277"/>
      <c r="AY235" s="280"/>
      <c r="AZ235" s="268"/>
      <c r="BA235" s="268"/>
      <c r="BB235" s="13"/>
      <c r="BC235" s="36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</row>
    <row r="236" spans="1:73">
      <c r="A236" s="13"/>
      <c r="B236" s="13"/>
      <c r="C236" s="13"/>
      <c r="D236" s="13"/>
      <c r="E236" s="13"/>
      <c r="F236" s="13"/>
      <c r="G236" s="36"/>
      <c r="H236" s="36"/>
      <c r="I236" s="36"/>
      <c r="J236" s="36"/>
      <c r="K236" s="36"/>
      <c r="L236" s="36"/>
      <c r="M236" s="36"/>
      <c r="N236" s="13"/>
      <c r="O236" s="202"/>
      <c r="P236" s="36"/>
      <c r="Q236" s="52"/>
      <c r="R236" s="52"/>
      <c r="S236" s="52"/>
      <c r="U236" s="202"/>
      <c r="V236" s="202"/>
      <c r="W236" s="202"/>
      <c r="X236" s="202"/>
      <c r="Y236" s="13"/>
      <c r="Z236" s="36"/>
      <c r="AA236" s="13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289"/>
      <c r="AO236" s="289"/>
      <c r="AP236" s="289"/>
      <c r="AQ236" s="36"/>
      <c r="AR236" s="283"/>
      <c r="AS236" s="13"/>
      <c r="AT236" s="13"/>
      <c r="AU236" s="32"/>
      <c r="AV236" s="277"/>
      <c r="AW236" s="277"/>
      <c r="AX236" s="277"/>
      <c r="AY236" s="280"/>
      <c r="AZ236" s="268"/>
      <c r="BA236" s="268"/>
      <c r="BB236" s="13"/>
      <c r="BC236" s="36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</row>
    <row r="237" spans="1:73">
      <c r="A237" s="13"/>
      <c r="B237" s="13"/>
      <c r="C237" s="13"/>
      <c r="D237" s="13"/>
      <c r="E237" s="13"/>
      <c r="F237" s="13"/>
      <c r="G237" s="36"/>
      <c r="H237" s="36"/>
      <c r="I237" s="36"/>
      <c r="J237" s="36"/>
      <c r="K237" s="36"/>
      <c r="L237" s="36"/>
      <c r="M237" s="36"/>
      <c r="N237" s="13"/>
      <c r="O237" s="202"/>
      <c r="P237" s="36"/>
      <c r="Q237" s="52"/>
      <c r="R237" s="52"/>
      <c r="S237" s="52"/>
      <c r="U237" s="202"/>
      <c r="V237" s="202"/>
      <c r="W237" s="202"/>
      <c r="X237" s="202"/>
      <c r="Y237" s="13"/>
      <c r="Z237" s="36"/>
      <c r="AA237" s="13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289"/>
      <c r="AO237" s="289"/>
      <c r="AP237" s="289"/>
      <c r="AQ237" s="36"/>
      <c r="AR237" s="283"/>
      <c r="AS237" s="13"/>
      <c r="AT237" s="13"/>
      <c r="AU237" s="32"/>
      <c r="AV237" s="277"/>
      <c r="AW237" s="277"/>
      <c r="AX237" s="277"/>
      <c r="AY237" s="280"/>
      <c r="AZ237" s="268"/>
      <c r="BA237" s="268"/>
      <c r="BB237" s="13"/>
      <c r="BC237" s="36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</row>
    <row r="238" spans="1:73">
      <c r="A238" s="13"/>
      <c r="B238" s="13"/>
      <c r="C238" s="13"/>
      <c r="D238" s="13"/>
      <c r="E238" s="13"/>
      <c r="F238" s="13"/>
      <c r="G238" s="36"/>
      <c r="H238" s="36"/>
      <c r="I238" s="36"/>
      <c r="J238" s="36"/>
      <c r="K238" s="36"/>
      <c r="L238" s="36"/>
      <c r="M238" s="36"/>
      <c r="N238" s="13"/>
      <c r="O238" s="202"/>
      <c r="P238" s="36"/>
      <c r="Q238" s="52"/>
      <c r="R238" s="52"/>
      <c r="S238" s="52"/>
      <c r="U238" s="202"/>
      <c r="V238" s="202"/>
      <c r="W238" s="202"/>
      <c r="X238" s="202"/>
      <c r="Y238" s="13"/>
      <c r="Z238" s="36"/>
      <c r="AA238" s="13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289"/>
      <c r="AO238" s="289"/>
      <c r="AP238" s="289"/>
      <c r="AQ238" s="36"/>
      <c r="AR238" s="283"/>
      <c r="AS238" s="13"/>
      <c r="AT238" s="13"/>
      <c r="AU238" s="32"/>
      <c r="AV238" s="277"/>
      <c r="AW238" s="277"/>
      <c r="AX238" s="277"/>
      <c r="AY238" s="280"/>
      <c r="AZ238" s="268"/>
      <c r="BA238" s="268"/>
      <c r="BB238" s="13"/>
      <c r="BC238" s="36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</row>
    <row r="239" spans="1:73">
      <c r="A239" s="13"/>
      <c r="B239" s="13"/>
      <c r="C239" s="13"/>
      <c r="D239" s="13"/>
      <c r="E239" s="13"/>
      <c r="F239" s="13"/>
      <c r="G239" s="36"/>
      <c r="H239" s="36"/>
      <c r="I239" s="36"/>
      <c r="J239" s="36"/>
      <c r="K239" s="36"/>
      <c r="L239" s="36"/>
      <c r="M239" s="36"/>
      <c r="N239" s="13"/>
      <c r="O239" s="202"/>
      <c r="P239" s="36"/>
      <c r="Q239" s="52"/>
      <c r="R239" s="52"/>
      <c r="S239" s="52"/>
      <c r="U239" s="202"/>
      <c r="V239" s="202"/>
      <c r="W239" s="202"/>
      <c r="X239" s="202"/>
      <c r="Y239" s="13"/>
      <c r="Z239" s="36"/>
      <c r="AA239" s="13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289"/>
      <c r="AO239" s="289"/>
      <c r="AP239" s="289"/>
      <c r="AQ239" s="36"/>
      <c r="AR239" s="283"/>
      <c r="AS239" s="13"/>
      <c r="AT239" s="13"/>
      <c r="AU239" s="32"/>
      <c r="AV239" s="277"/>
      <c r="AW239" s="277"/>
      <c r="AX239" s="277"/>
      <c r="AY239" s="280"/>
      <c r="AZ239" s="268"/>
      <c r="BA239" s="268"/>
      <c r="BB239" s="13"/>
      <c r="BC239" s="36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</row>
    <row r="240" spans="1:73">
      <c r="A240" s="13"/>
      <c r="B240" s="13"/>
      <c r="C240" s="13"/>
      <c r="D240" s="13"/>
      <c r="E240" s="13"/>
      <c r="F240" s="13"/>
      <c r="G240" s="36"/>
      <c r="H240" s="36"/>
      <c r="I240" s="36"/>
      <c r="J240" s="36"/>
      <c r="K240" s="36"/>
      <c r="L240" s="36"/>
      <c r="M240" s="36"/>
      <c r="N240" s="13"/>
      <c r="O240" s="202"/>
      <c r="P240" s="36"/>
      <c r="Q240" s="52"/>
      <c r="R240" s="52"/>
      <c r="S240" s="52"/>
      <c r="U240" s="202"/>
      <c r="V240" s="202"/>
      <c r="W240" s="202"/>
      <c r="X240" s="202"/>
      <c r="Y240" s="13"/>
      <c r="Z240" s="36"/>
      <c r="AA240" s="13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289"/>
      <c r="AO240" s="289"/>
      <c r="AP240" s="289"/>
      <c r="AQ240" s="36"/>
      <c r="AR240" s="283"/>
      <c r="AS240" s="13"/>
      <c r="AT240" s="13"/>
      <c r="AU240" s="32"/>
      <c r="AV240" s="277"/>
      <c r="AW240" s="277"/>
      <c r="AX240" s="277"/>
      <c r="AY240" s="280"/>
      <c r="AZ240" s="268"/>
      <c r="BA240" s="268"/>
      <c r="BB240" s="13"/>
      <c r="BC240" s="36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</row>
    <row r="241" spans="1:73">
      <c r="A241" s="13"/>
      <c r="B241" s="13"/>
      <c r="C241" s="13"/>
      <c r="D241" s="13"/>
      <c r="E241" s="13"/>
      <c r="F241" s="13"/>
      <c r="G241" s="36"/>
      <c r="H241" s="36"/>
      <c r="I241" s="36"/>
      <c r="J241" s="36"/>
      <c r="K241" s="36"/>
      <c r="L241" s="36"/>
      <c r="M241" s="36"/>
      <c r="N241" s="13"/>
      <c r="O241" s="202"/>
      <c r="P241" s="36"/>
      <c r="Q241" s="52"/>
      <c r="R241" s="52"/>
      <c r="S241" s="52"/>
      <c r="U241" s="202"/>
      <c r="V241" s="202"/>
      <c r="W241" s="202"/>
      <c r="X241" s="202"/>
      <c r="Y241" s="13"/>
      <c r="Z241" s="36"/>
      <c r="AA241" s="13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289"/>
      <c r="AO241" s="289"/>
      <c r="AP241" s="289"/>
      <c r="AQ241" s="36"/>
      <c r="AR241" s="283"/>
      <c r="AS241" s="13"/>
      <c r="AT241" s="13"/>
      <c r="AU241" s="32"/>
      <c r="AV241" s="277"/>
      <c r="AW241" s="277"/>
      <c r="AX241" s="277"/>
      <c r="AY241" s="280"/>
      <c r="AZ241" s="268"/>
      <c r="BA241" s="268"/>
      <c r="BB241" s="13"/>
      <c r="BC241" s="36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</row>
    <row r="242" spans="1:73">
      <c r="A242" s="13"/>
      <c r="B242" s="13"/>
      <c r="C242" s="13"/>
      <c r="D242" s="13"/>
      <c r="E242" s="13"/>
      <c r="F242" s="13"/>
      <c r="G242" s="36"/>
      <c r="H242" s="36"/>
      <c r="I242" s="36"/>
      <c r="J242" s="36"/>
      <c r="K242" s="36"/>
      <c r="L242" s="36"/>
      <c r="M242" s="36"/>
      <c r="N242" s="13"/>
      <c r="O242" s="202"/>
      <c r="P242" s="36"/>
      <c r="Q242" s="52"/>
      <c r="R242" s="52"/>
      <c r="S242" s="52"/>
      <c r="U242" s="202"/>
      <c r="V242" s="202"/>
      <c r="W242" s="202"/>
      <c r="X242" s="202"/>
      <c r="Y242" s="13"/>
      <c r="Z242" s="36"/>
      <c r="AA242" s="13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289"/>
      <c r="AO242" s="289"/>
      <c r="AP242" s="289"/>
      <c r="AQ242" s="36"/>
      <c r="AR242" s="283"/>
      <c r="AS242" s="13"/>
      <c r="AT242" s="13"/>
      <c r="AU242" s="32"/>
      <c r="AV242" s="277"/>
      <c r="AW242" s="277"/>
      <c r="AX242" s="277"/>
      <c r="AY242" s="280"/>
      <c r="AZ242" s="268"/>
      <c r="BA242" s="268"/>
      <c r="BB242" s="13"/>
      <c r="BC242" s="36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</row>
    <row r="243" spans="1:73">
      <c r="A243" s="13"/>
      <c r="B243" s="13"/>
      <c r="C243" s="13"/>
      <c r="D243" s="13"/>
      <c r="E243" s="13"/>
      <c r="F243" s="13"/>
      <c r="G243" s="36"/>
      <c r="H243" s="36"/>
      <c r="I243" s="36"/>
      <c r="J243" s="36"/>
      <c r="K243" s="36"/>
      <c r="L243" s="36"/>
      <c r="M243" s="36"/>
      <c r="N243" s="13"/>
      <c r="O243" s="202"/>
      <c r="P243" s="36"/>
      <c r="Q243" s="52"/>
      <c r="R243" s="52"/>
      <c r="S243" s="52"/>
      <c r="U243" s="202"/>
      <c r="V243" s="202"/>
      <c r="W243" s="202"/>
      <c r="X243" s="202"/>
      <c r="Y243" s="13"/>
      <c r="Z243" s="36"/>
      <c r="AA243" s="13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289"/>
      <c r="AO243" s="289"/>
      <c r="AP243" s="289"/>
      <c r="AQ243" s="36"/>
      <c r="AR243" s="283"/>
      <c r="AS243" s="13"/>
      <c r="AT243" s="13"/>
      <c r="AU243" s="32"/>
      <c r="AV243" s="277"/>
      <c r="AW243" s="277"/>
      <c r="AX243" s="277"/>
      <c r="AY243" s="280"/>
      <c r="AZ243" s="268"/>
      <c r="BA243" s="268"/>
      <c r="BB243" s="13"/>
      <c r="BC243" s="36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</row>
    <row r="244" spans="1:73">
      <c r="A244" s="13"/>
      <c r="B244" s="13"/>
      <c r="C244" s="13"/>
      <c r="D244" s="13"/>
      <c r="E244" s="13"/>
      <c r="F244" s="13"/>
      <c r="G244" s="36"/>
      <c r="H244" s="36"/>
      <c r="I244" s="36"/>
      <c r="J244" s="36"/>
      <c r="K244" s="36"/>
      <c r="L244" s="36"/>
      <c r="M244" s="36"/>
      <c r="N244" s="13"/>
      <c r="O244" s="202"/>
      <c r="P244" s="36"/>
      <c r="Q244" s="52"/>
      <c r="R244" s="52"/>
      <c r="S244" s="52"/>
      <c r="U244" s="202"/>
      <c r="V244" s="202"/>
      <c r="W244" s="202"/>
      <c r="X244" s="202"/>
      <c r="Y244" s="13"/>
      <c r="Z244" s="36"/>
      <c r="AA244" s="13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289"/>
      <c r="AO244" s="289"/>
      <c r="AP244" s="289"/>
      <c r="AQ244" s="36"/>
      <c r="AR244" s="283"/>
      <c r="AS244" s="13"/>
      <c r="AT244" s="13"/>
      <c r="AU244" s="32"/>
      <c r="AV244" s="277"/>
      <c r="AW244" s="277"/>
      <c r="AX244" s="277"/>
      <c r="AY244" s="280"/>
      <c r="AZ244" s="268"/>
      <c r="BA244" s="268"/>
      <c r="BB244" s="13"/>
      <c r="BC244" s="36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</row>
    <row r="245" spans="1:73">
      <c r="A245" s="13"/>
      <c r="B245" s="13"/>
      <c r="C245" s="13"/>
      <c r="D245" s="13"/>
      <c r="E245" s="13"/>
      <c r="F245" s="13"/>
      <c r="G245" s="36"/>
      <c r="H245" s="36"/>
      <c r="I245" s="36"/>
      <c r="J245" s="36"/>
      <c r="K245" s="36"/>
      <c r="L245" s="36"/>
      <c r="M245" s="36"/>
      <c r="N245" s="13"/>
      <c r="O245" s="202"/>
      <c r="P245" s="36"/>
      <c r="Q245" s="52"/>
      <c r="R245" s="52"/>
      <c r="S245" s="52"/>
      <c r="U245" s="202"/>
      <c r="V245" s="202"/>
      <c r="W245" s="202"/>
      <c r="X245" s="202"/>
      <c r="Y245" s="13"/>
      <c r="Z245" s="36"/>
      <c r="AA245" s="13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289"/>
      <c r="AO245" s="289"/>
      <c r="AP245" s="289"/>
      <c r="AQ245" s="36"/>
      <c r="AR245" s="283"/>
      <c r="AS245" s="13"/>
      <c r="AT245" s="13"/>
      <c r="AU245" s="32"/>
      <c r="AV245" s="277"/>
      <c r="AW245" s="277"/>
      <c r="AX245" s="277"/>
      <c r="AY245" s="280"/>
      <c r="AZ245" s="268"/>
      <c r="BA245" s="268"/>
      <c r="BB245" s="13"/>
      <c r="BC245" s="36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</row>
    <row r="246" spans="1:73">
      <c r="A246" s="13"/>
      <c r="B246" s="13"/>
      <c r="C246" s="13"/>
      <c r="D246" s="13"/>
      <c r="E246" s="13"/>
      <c r="F246" s="13"/>
      <c r="G246" s="36"/>
      <c r="H246" s="36"/>
      <c r="I246" s="36"/>
      <c r="J246" s="36"/>
      <c r="K246" s="36"/>
      <c r="L246" s="36"/>
      <c r="M246" s="36"/>
      <c r="N246" s="13"/>
      <c r="O246" s="202"/>
      <c r="P246" s="36"/>
      <c r="Q246" s="52"/>
      <c r="R246" s="52"/>
      <c r="S246" s="52"/>
      <c r="U246" s="202"/>
      <c r="V246" s="202"/>
      <c r="W246" s="202"/>
      <c r="X246" s="202"/>
      <c r="Y246" s="13"/>
      <c r="Z246" s="36"/>
      <c r="AA246" s="13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289"/>
      <c r="AO246" s="289"/>
      <c r="AP246" s="289"/>
      <c r="AQ246" s="36"/>
      <c r="AR246" s="283"/>
      <c r="AS246" s="13"/>
      <c r="AT246" s="13"/>
      <c r="AU246" s="32"/>
      <c r="AV246" s="277"/>
      <c r="AW246" s="277"/>
      <c r="AX246" s="277"/>
      <c r="AY246" s="280"/>
      <c r="AZ246" s="268"/>
      <c r="BA246" s="268"/>
      <c r="BB246" s="13"/>
      <c r="BC246" s="36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</row>
    <row r="247" spans="1:73">
      <c r="A247" s="13"/>
      <c r="B247" s="13"/>
      <c r="C247" s="13"/>
      <c r="D247" s="13"/>
      <c r="E247" s="13"/>
      <c r="F247" s="13"/>
      <c r="G247" s="36"/>
      <c r="H247" s="36"/>
      <c r="I247" s="36"/>
      <c r="J247" s="36"/>
      <c r="K247" s="36"/>
      <c r="L247" s="36"/>
      <c r="M247" s="36"/>
      <c r="N247" s="13"/>
      <c r="O247" s="202"/>
      <c r="P247" s="36"/>
      <c r="Q247" s="52"/>
      <c r="R247" s="52"/>
      <c r="S247" s="52"/>
      <c r="U247" s="202"/>
      <c r="V247" s="202"/>
      <c r="W247" s="202"/>
      <c r="X247" s="202"/>
      <c r="Y247" s="13"/>
      <c r="Z247" s="36"/>
      <c r="AA247" s="13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289"/>
      <c r="AO247" s="289"/>
      <c r="AP247" s="289"/>
      <c r="AQ247" s="36"/>
      <c r="AR247" s="283"/>
      <c r="AS247" s="13"/>
      <c r="AT247" s="13"/>
      <c r="AU247" s="32"/>
      <c r="AV247" s="277"/>
      <c r="AW247" s="277"/>
      <c r="AX247" s="277"/>
      <c r="AY247" s="280"/>
      <c r="AZ247" s="268"/>
      <c r="BA247" s="268"/>
      <c r="BB247" s="13"/>
      <c r="BC247" s="36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</row>
    <row r="248" spans="1:73">
      <c r="A248" s="13"/>
      <c r="B248" s="13"/>
      <c r="C248" s="13"/>
      <c r="D248" s="13"/>
      <c r="E248" s="13"/>
      <c r="F248" s="13"/>
      <c r="G248" s="36"/>
      <c r="H248" s="36"/>
      <c r="I248" s="36"/>
      <c r="J248" s="36"/>
      <c r="K248" s="36"/>
      <c r="L248" s="36"/>
      <c r="M248" s="36"/>
      <c r="N248" s="13"/>
      <c r="O248" s="202"/>
      <c r="P248" s="36"/>
      <c r="Q248" s="52"/>
      <c r="R248" s="52"/>
      <c r="S248" s="52"/>
      <c r="U248" s="202"/>
      <c r="V248" s="202"/>
      <c r="W248" s="202"/>
      <c r="X248" s="202"/>
      <c r="Y248" s="13"/>
      <c r="Z248" s="36"/>
      <c r="AA248" s="13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289"/>
      <c r="AO248" s="289"/>
      <c r="AP248" s="289"/>
      <c r="AQ248" s="36"/>
      <c r="AR248" s="283"/>
      <c r="AS248" s="13"/>
      <c r="AT248" s="13"/>
      <c r="AU248" s="32"/>
      <c r="AV248" s="277"/>
      <c r="AW248" s="277"/>
      <c r="AX248" s="277"/>
      <c r="AY248" s="280"/>
      <c r="AZ248" s="268"/>
      <c r="BA248" s="268"/>
      <c r="BB248" s="13"/>
      <c r="BC248" s="36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</row>
    <row r="249" spans="1:73">
      <c r="A249" s="13"/>
      <c r="B249" s="13"/>
      <c r="C249" s="13"/>
      <c r="D249" s="13"/>
      <c r="E249" s="13"/>
      <c r="F249" s="13"/>
      <c r="G249" s="36"/>
      <c r="H249" s="36"/>
      <c r="I249" s="36"/>
      <c r="J249" s="36"/>
      <c r="K249" s="36"/>
      <c r="L249" s="36"/>
      <c r="M249" s="36"/>
      <c r="N249" s="13"/>
      <c r="O249" s="202"/>
      <c r="P249" s="36"/>
      <c r="Q249" s="52"/>
      <c r="R249" s="52"/>
      <c r="S249" s="52"/>
      <c r="U249" s="202"/>
      <c r="V249" s="202"/>
      <c r="W249" s="202"/>
      <c r="X249" s="202"/>
      <c r="Y249" s="13"/>
      <c r="Z249" s="36"/>
      <c r="AA249" s="13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289"/>
      <c r="AO249" s="289"/>
      <c r="AP249" s="289"/>
      <c r="AQ249" s="36"/>
      <c r="AR249" s="283"/>
      <c r="AS249" s="13"/>
      <c r="AT249" s="13"/>
      <c r="AU249" s="32"/>
      <c r="AV249" s="277"/>
      <c r="AW249" s="277"/>
      <c r="AX249" s="277"/>
      <c r="AY249" s="280"/>
      <c r="AZ249" s="268"/>
      <c r="BA249" s="268"/>
      <c r="BB249" s="13"/>
      <c r="BC249" s="36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</row>
    <row r="250" spans="1:73">
      <c r="A250" s="13"/>
      <c r="B250" s="13"/>
      <c r="C250" s="13"/>
      <c r="D250" s="13"/>
      <c r="E250" s="13"/>
      <c r="F250" s="13"/>
      <c r="G250" s="36"/>
      <c r="H250" s="36"/>
      <c r="I250" s="36"/>
      <c r="J250" s="36"/>
      <c r="K250" s="36"/>
      <c r="L250" s="36"/>
      <c r="M250" s="36"/>
      <c r="N250" s="13"/>
      <c r="O250" s="202"/>
      <c r="P250" s="36"/>
      <c r="Q250" s="52"/>
      <c r="R250" s="52"/>
      <c r="S250" s="52"/>
      <c r="U250" s="202"/>
      <c r="V250" s="202"/>
      <c r="W250" s="202"/>
      <c r="X250" s="202"/>
      <c r="Y250" s="13"/>
      <c r="Z250" s="36"/>
      <c r="AA250" s="13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289"/>
      <c r="AO250" s="289"/>
      <c r="AP250" s="289"/>
      <c r="AQ250" s="36"/>
      <c r="AR250" s="283"/>
      <c r="AS250" s="13"/>
      <c r="AT250" s="13"/>
      <c r="AU250" s="32"/>
      <c r="AV250" s="277"/>
      <c r="AW250" s="277"/>
      <c r="AX250" s="277"/>
      <c r="AY250" s="280"/>
      <c r="AZ250" s="268"/>
      <c r="BA250" s="268"/>
      <c r="BB250" s="13"/>
      <c r="BC250" s="36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</row>
    <row r="251" spans="1:73">
      <c r="A251" s="13"/>
      <c r="B251" s="13"/>
      <c r="C251" s="13"/>
      <c r="D251" s="13"/>
      <c r="E251" s="13"/>
      <c r="F251" s="13"/>
      <c r="G251" s="36"/>
      <c r="H251" s="36"/>
      <c r="I251" s="36"/>
      <c r="J251" s="36"/>
      <c r="K251" s="36"/>
      <c r="L251" s="36"/>
      <c r="M251" s="36"/>
      <c r="N251" s="13"/>
      <c r="O251" s="202"/>
      <c r="P251" s="36"/>
      <c r="Q251" s="52"/>
      <c r="R251" s="52"/>
      <c r="S251" s="52"/>
      <c r="U251" s="202"/>
      <c r="V251" s="202"/>
      <c r="W251" s="202"/>
      <c r="X251" s="202"/>
      <c r="Y251" s="13"/>
      <c r="Z251" s="36"/>
      <c r="AA251" s="13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289"/>
      <c r="AO251" s="289"/>
      <c r="AP251" s="289"/>
      <c r="AQ251" s="36"/>
      <c r="AR251" s="283"/>
      <c r="AS251" s="13"/>
      <c r="AT251" s="13"/>
      <c r="AU251" s="32"/>
      <c r="AV251" s="277"/>
      <c r="AW251" s="277"/>
      <c r="AX251" s="277"/>
      <c r="AY251" s="280"/>
      <c r="AZ251" s="268"/>
      <c r="BA251" s="268"/>
      <c r="BB251" s="13"/>
      <c r="BC251" s="36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</row>
    <row r="252" spans="1:73">
      <c r="A252" s="13"/>
      <c r="B252" s="13"/>
      <c r="C252" s="13"/>
      <c r="D252" s="13"/>
      <c r="E252" s="13"/>
      <c r="F252" s="13"/>
      <c r="G252" s="36"/>
      <c r="H252" s="36"/>
      <c r="I252" s="36"/>
      <c r="J252" s="36"/>
      <c r="K252" s="36"/>
      <c r="L252" s="36"/>
      <c r="M252" s="36"/>
      <c r="N252" s="13"/>
      <c r="O252" s="202"/>
      <c r="P252" s="36"/>
      <c r="Q252" s="52"/>
      <c r="R252" s="52"/>
      <c r="S252" s="52"/>
      <c r="U252" s="202"/>
      <c r="V252" s="202"/>
      <c r="W252" s="202"/>
      <c r="X252" s="202"/>
      <c r="Y252" s="13"/>
      <c r="Z252" s="36"/>
      <c r="AA252" s="13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289"/>
      <c r="AO252" s="289"/>
      <c r="AP252" s="289"/>
      <c r="AQ252" s="36"/>
      <c r="AR252" s="283"/>
      <c r="AS252" s="13"/>
      <c r="AT252" s="13"/>
      <c r="AU252" s="32"/>
      <c r="AV252" s="277"/>
      <c r="AW252" s="277"/>
      <c r="AX252" s="277"/>
      <c r="AY252" s="280"/>
      <c r="AZ252" s="268"/>
      <c r="BA252" s="268"/>
      <c r="BB252" s="13"/>
      <c r="BC252" s="36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</row>
    <row r="253" spans="1:73">
      <c r="A253" s="13"/>
      <c r="B253" s="13"/>
      <c r="C253" s="13"/>
      <c r="D253" s="13"/>
      <c r="E253" s="13"/>
      <c r="F253" s="13"/>
      <c r="G253" s="36"/>
      <c r="H253" s="36"/>
      <c r="I253" s="36"/>
      <c r="J253" s="36"/>
      <c r="K253" s="36"/>
      <c r="L253" s="36"/>
      <c r="M253" s="36"/>
      <c r="N253" s="13"/>
      <c r="O253" s="202"/>
      <c r="P253" s="36"/>
      <c r="Q253" s="52"/>
      <c r="R253" s="52"/>
      <c r="S253" s="52"/>
      <c r="U253" s="202"/>
      <c r="V253" s="202"/>
      <c r="W253" s="202"/>
      <c r="X253" s="202"/>
      <c r="Y253" s="13"/>
      <c r="Z253" s="36"/>
      <c r="AA253" s="13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289"/>
      <c r="AO253" s="289"/>
      <c r="AP253" s="289"/>
      <c r="AQ253" s="36"/>
      <c r="AR253" s="283"/>
      <c r="AS253" s="13"/>
      <c r="AT253" s="13"/>
      <c r="AU253" s="32"/>
      <c r="AV253" s="277"/>
      <c r="AW253" s="277"/>
      <c r="AX253" s="277"/>
      <c r="AY253" s="280"/>
      <c r="AZ253" s="268"/>
      <c r="BA253" s="268"/>
      <c r="BB253" s="13"/>
      <c r="BC253" s="36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</row>
    <row r="254" spans="1:73">
      <c r="A254" s="13"/>
      <c r="B254" s="13"/>
      <c r="C254" s="13"/>
      <c r="D254" s="13"/>
      <c r="E254" s="13"/>
      <c r="F254" s="13"/>
      <c r="G254" s="36"/>
      <c r="H254" s="36"/>
      <c r="I254" s="36"/>
      <c r="J254" s="36"/>
      <c r="K254" s="36"/>
      <c r="L254" s="36"/>
      <c r="M254" s="36"/>
      <c r="N254" s="13"/>
      <c r="O254" s="202"/>
      <c r="P254" s="36"/>
      <c r="Q254" s="52"/>
      <c r="R254" s="52"/>
      <c r="S254" s="52"/>
      <c r="U254" s="202"/>
      <c r="V254" s="202"/>
      <c r="W254" s="202"/>
      <c r="X254" s="202"/>
      <c r="Y254" s="13"/>
      <c r="Z254" s="36"/>
      <c r="AA254" s="13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289"/>
      <c r="AO254" s="289"/>
      <c r="AP254" s="289"/>
      <c r="AQ254" s="36"/>
      <c r="AR254" s="283"/>
      <c r="AS254" s="13"/>
      <c r="AT254" s="13"/>
      <c r="AU254" s="32"/>
      <c r="AV254" s="277"/>
      <c r="AW254" s="277"/>
      <c r="AX254" s="277"/>
      <c r="AY254" s="280"/>
      <c r="AZ254" s="268"/>
      <c r="BA254" s="268"/>
      <c r="BB254" s="13"/>
      <c r="BC254" s="36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</row>
    <row r="255" spans="1:73">
      <c r="A255" s="13"/>
      <c r="B255" s="13"/>
      <c r="C255" s="13"/>
      <c r="D255" s="13"/>
      <c r="E255" s="13"/>
      <c r="F255" s="13"/>
      <c r="G255" s="36"/>
      <c r="H255" s="36"/>
      <c r="I255" s="36"/>
      <c r="J255" s="36"/>
      <c r="K255" s="36"/>
      <c r="L255" s="36"/>
      <c r="M255" s="36"/>
      <c r="N255" s="13"/>
      <c r="O255" s="202"/>
      <c r="P255" s="36"/>
      <c r="Q255" s="52"/>
      <c r="R255" s="52"/>
      <c r="S255" s="52"/>
      <c r="U255" s="202"/>
      <c r="V255" s="202"/>
      <c r="W255" s="202"/>
      <c r="X255" s="202"/>
      <c r="Y255" s="13"/>
      <c r="Z255" s="36"/>
      <c r="AA255" s="13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289"/>
      <c r="AO255" s="289"/>
      <c r="AP255" s="289"/>
      <c r="AQ255" s="36"/>
      <c r="AR255" s="283"/>
      <c r="AS255" s="13"/>
      <c r="AT255" s="13"/>
      <c r="AU255" s="32"/>
      <c r="AV255" s="277"/>
      <c r="AW255" s="277"/>
      <c r="AX255" s="277"/>
      <c r="AY255" s="280"/>
      <c r="AZ255" s="268"/>
      <c r="BA255" s="268"/>
      <c r="BB255" s="13"/>
      <c r="BC255" s="36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</row>
    <row r="256" spans="1:73">
      <c r="A256" s="13"/>
      <c r="B256" s="13"/>
      <c r="C256" s="13"/>
      <c r="D256" s="13"/>
      <c r="E256" s="13"/>
      <c r="F256" s="13"/>
      <c r="G256" s="36"/>
      <c r="H256" s="36"/>
      <c r="I256" s="36"/>
      <c r="J256" s="36"/>
      <c r="K256" s="36"/>
      <c r="L256" s="36"/>
      <c r="M256" s="36"/>
      <c r="N256" s="13"/>
      <c r="O256" s="202"/>
      <c r="P256" s="36"/>
      <c r="Q256" s="52"/>
      <c r="R256" s="52"/>
      <c r="S256" s="52"/>
      <c r="U256" s="202"/>
      <c r="V256" s="202"/>
      <c r="W256" s="202"/>
      <c r="X256" s="202"/>
      <c r="Y256" s="13"/>
      <c r="Z256" s="36"/>
      <c r="AA256" s="13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289"/>
      <c r="AO256" s="289"/>
      <c r="AP256" s="289"/>
      <c r="AQ256" s="36"/>
      <c r="AR256" s="283"/>
      <c r="AS256" s="13"/>
      <c r="AT256" s="13"/>
      <c r="AU256" s="32"/>
      <c r="AV256" s="277"/>
      <c r="AW256" s="277"/>
      <c r="AX256" s="277"/>
      <c r="AY256" s="280"/>
      <c r="AZ256" s="268"/>
      <c r="BA256" s="268"/>
      <c r="BB256" s="13"/>
      <c r="BC256" s="36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</row>
    <row r="257" spans="1:73">
      <c r="A257" s="13"/>
      <c r="B257" s="13"/>
      <c r="C257" s="13"/>
      <c r="D257" s="13"/>
      <c r="E257" s="13"/>
      <c r="F257" s="13"/>
      <c r="G257" s="36"/>
      <c r="H257" s="36"/>
      <c r="I257" s="36"/>
      <c r="J257" s="36"/>
      <c r="K257" s="36"/>
      <c r="L257" s="36"/>
      <c r="M257" s="36"/>
      <c r="N257" s="13"/>
      <c r="O257" s="202"/>
      <c r="P257" s="36"/>
      <c r="Q257" s="52"/>
      <c r="R257" s="52"/>
      <c r="S257" s="52"/>
      <c r="U257" s="202"/>
      <c r="V257" s="202"/>
      <c r="W257" s="202"/>
      <c r="X257" s="202"/>
      <c r="Y257" s="13"/>
      <c r="Z257" s="36"/>
      <c r="AA257" s="13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289"/>
      <c r="AO257" s="289"/>
      <c r="AP257" s="289"/>
      <c r="AQ257" s="36"/>
      <c r="AR257" s="283"/>
      <c r="AS257" s="13"/>
      <c r="AT257" s="13"/>
      <c r="AU257" s="32"/>
      <c r="AV257" s="277"/>
      <c r="AW257" s="277"/>
      <c r="AX257" s="277"/>
      <c r="AY257" s="280"/>
      <c r="AZ257" s="268"/>
      <c r="BA257" s="268"/>
      <c r="BB257" s="13"/>
      <c r="BC257" s="36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</row>
    <row r="258" spans="1:73">
      <c r="A258" s="13"/>
      <c r="B258" s="13"/>
      <c r="C258" s="13"/>
      <c r="D258" s="13"/>
      <c r="E258" s="13"/>
      <c r="F258" s="13"/>
      <c r="G258" s="36"/>
      <c r="H258" s="36"/>
      <c r="I258" s="36"/>
      <c r="J258" s="36"/>
      <c r="K258" s="36"/>
      <c r="L258" s="36"/>
      <c r="M258" s="36"/>
      <c r="N258" s="13"/>
      <c r="O258" s="202"/>
      <c r="P258" s="36"/>
      <c r="Q258" s="52"/>
      <c r="R258" s="52"/>
      <c r="S258" s="52"/>
      <c r="U258" s="202"/>
      <c r="V258" s="202"/>
      <c r="W258" s="202"/>
      <c r="X258" s="202"/>
      <c r="Y258" s="13"/>
      <c r="Z258" s="36"/>
      <c r="AA258" s="13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289"/>
      <c r="AO258" s="289"/>
      <c r="AP258" s="289"/>
      <c r="AQ258" s="36"/>
      <c r="AR258" s="283"/>
      <c r="AS258" s="13"/>
      <c r="AT258" s="13"/>
      <c r="AU258" s="32"/>
      <c r="AV258" s="277"/>
      <c r="AW258" s="277"/>
      <c r="AX258" s="277"/>
      <c r="AY258" s="280"/>
      <c r="AZ258" s="268"/>
      <c r="BA258" s="268"/>
      <c r="BB258" s="13"/>
      <c r="BC258" s="36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</row>
    <row r="259" spans="1:73">
      <c r="A259" s="13"/>
      <c r="B259" s="13"/>
      <c r="C259" s="13"/>
      <c r="D259" s="13"/>
      <c r="E259" s="13"/>
      <c r="F259" s="13"/>
      <c r="G259" s="36"/>
      <c r="H259" s="36"/>
      <c r="I259" s="36"/>
      <c r="J259" s="36"/>
      <c r="K259" s="36"/>
      <c r="L259" s="36"/>
      <c r="M259" s="36"/>
      <c r="N259" s="13"/>
      <c r="O259" s="202"/>
      <c r="P259" s="36"/>
      <c r="Q259" s="52"/>
      <c r="R259" s="52"/>
      <c r="S259" s="52"/>
      <c r="U259" s="202"/>
      <c r="V259" s="202"/>
      <c r="W259" s="202"/>
      <c r="X259" s="202"/>
      <c r="Y259" s="13"/>
      <c r="Z259" s="36"/>
      <c r="AA259" s="13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289"/>
      <c r="AO259" s="289"/>
      <c r="AP259" s="289"/>
      <c r="AQ259" s="36"/>
      <c r="AR259" s="283"/>
      <c r="AS259" s="13"/>
      <c r="AT259" s="13"/>
      <c r="AU259" s="32"/>
      <c r="AV259" s="277"/>
      <c r="AW259" s="277"/>
      <c r="AX259" s="277"/>
      <c r="AY259" s="280"/>
      <c r="AZ259" s="268"/>
      <c r="BA259" s="268"/>
      <c r="BB259" s="13"/>
      <c r="BC259" s="36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</row>
    <row r="260" spans="1:73">
      <c r="A260" s="13"/>
      <c r="B260" s="13"/>
      <c r="C260" s="13"/>
      <c r="D260" s="13"/>
      <c r="E260" s="13"/>
      <c r="F260" s="13"/>
      <c r="G260" s="36"/>
      <c r="H260" s="36"/>
      <c r="I260" s="36"/>
      <c r="J260" s="36"/>
      <c r="K260" s="36"/>
      <c r="L260" s="36"/>
      <c r="M260" s="36"/>
      <c r="N260" s="13"/>
      <c r="O260" s="202"/>
      <c r="P260" s="36"/>
      <c r="Q260" s="52"/>
      <c r="R260" s="52"/>
      <c r="S260" s="52"/>
      <c r="U260" s="202"/>
      <c r="V260" s="202"/>
      <c r="W260" s="202"/>
      <c r="X260" s="202"/>
      <c r="Y260" s="13"/>
      <c r="Z260" s="36"/>
      <c r="AA260" s="13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289"/>
      <c r="AO260" s="289"/>
      <c r="AP260" s="289"/>
      <c r="AQ260" s="36"/>
      <c r="AR260" s="283"/>
      <c r="AS260" s="13"/>
      <c r="AT260" s="13"/>
      <c r="AU260" s="32"/>
      <c r="AV260" s="277"/>
      <c r="AW260" s="277"/>
      <c r="AX260" s="277"/>
      <c r="AY260" s="280"/>
      <c r="AZ260" s="268"/>
      <c r="BA260" s="268"/>
      <c r="BB260" s="13"/>
      <c r="BC260" s="36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</row>
    <row r="261" spans="1:73">
      <c r="A261" s="13"/>
      <c r="B261" s="13"/>
      <c r="C261" s="13"/>
      <c r="D261" s="13"/>
      <c r="E261" s="13"/>
      <c r="F261" s="13"/>
      <c r="G261" s="36"/>
      <c r="H261" s="36"/>
      <c r="I261" s="36"/>
      <c r="J261" s="36"/>
      <c r="K261" s="36"/>
      <c r="L261" s="36"/>
      <c r="M261" s="36"/>
      <c r="N261" s="13"/>
      <c r="O261" s="202"/>
      <c r="P261" s="36"/>
      <c r="Q261" s="52"/>
      <c r="R261" s="52"/>
      <c r="S261" s="52"/>
      <c r="U261" s="202"/>
      <c r="V261" s="202"/>
      <c r="W261" s="202"/>
      <c r="X261" s="202"/>
      <c r="Y261" s="13"/>
      <c r="Z261" s="36"/>
      <c r="AA261" s="13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289"/>
      <c r="AO261" s="289"/>
      <c r="AP261" s="289"/>
      <c r="AQ261" s="36"/>
      <c r="AR261" s="283"/>
      <c r="AS261" s="13"/>
      <c r="AT261" s="13"/>
      <c r="AU261" s="32"/>
      <c r="AV261" s="277"/>
      <c r="AW261" s="277"/>
      <c r="AX261" s="277"/>
      <c r="AY261" s="280"/>
      <c r="AZ261" s="268"/>
      <c r="BA261" s="268"/>
      <c r="BB261" s="13"/>
      <c r="BC261" s="36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</row>
    <row r="262" spans="1:73">
      <c r="A262" s="13"/>
      <c r="B262" s="13"/>
      <c r="C262" s="13"/>
      <c r="D262" s="13"/>
      <c r="E262" s="13"/>
      <c r="F262" s="13"/>
      <c r="G262" s="36"/>
      <c r="H262" s="36"/>
      <c r="I262" s="36"/>
      <c r="J262" s="36"/>
      <c r="K262" s="36"/>
      <c r="L262" s="36"/>
      <c r="M262" s="36"/>
      <c r="N262" s="13"/>
      <c r="O262" s="202"/>
      <c r="P262" s="36"/>
      <c r="Q262" s="52"/>
      <c r="R262" s="52"/>
      <c r="S262" s="52"/>
      <c r="U262" s="202"/>
      <c r="V262" s="202"/>
      <c r="W262" s="202"/>
      <c r="X262" s="202"/>
      <c r="Y262" s="13"/>
      <c r="Z262" s="36"/>
      <c r="AA262" s="13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289"/>
      <c r="AO262" s="289"/>
      <c r="AP262" s="289"/>
      <c r="AQ262" s="36"/>
      <c r="AR262" s="283"/>
      <c r="AS262" s="13"/>
      <c r="AT262" s="13"/>
      <c r="AU262" s="32"/>
      <c r="AV262" s="277"/>
      <c r="AW262" s="277"/>
      <c r="AX262" s="277"/>
      <c r="AY262" s="280"/>
      <c r="AZ262" s="268"/>
      <c r="BA262" s="268"/>
      <c r="BB262" s="13"/>
      <c r="BC262" s="36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</row>
    <row r="263" spans="1:73">
      <c r="A263" s="13"/>
      <c r="B263" s="13"/>
      <c r="C263" s="13"/>
      <c r="D263" s="13"/>
      <c r="E263" s="13"/>
      <c r="F263" s="13"/>
      <c r="G263" s="36"/>
      <c r="H263" s="36"/>
      <c r="I263" s="36"/>
      <c r="J263" s="36"/>
      <c r="K263" s="36"/>
      <c r="L263" s="36"/>
      <c r="M263" s="36"/>
      <c r="N263" s="13"/>
      <c r="O263" s="202"/>
      <c r="P263" s="36"/>
      <c r="Q263" s="52"/>
      <c r="R263" s="52"/>
      <c r="S263" s="52"/>
      <c r="U263" s="202"/>
      <c r="V263" s="202"/>
      <c r="W263" s="202"/>
      <c r="X263" s="202"/>
      <c r="Y263" s="13"/>
      <c r="Z263" s="36"/>
      <c r="AA263" s="13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289"/>
      <c r="AO263" s="289"/>
      <c r="AP263" s="289"/>
      <c r="AQ263" s="36"/>
      <c r="AR263" s="283"/>
      <c r="AS263" s="13"/>
      <c r="AT263" s="13"/>
      <c r="AU263" s="32"/>
      <c r="AV263" s="277"/>
      <c r="AW263" s="277"/>
      <c r="AX263" s="277"/>
      <c r="AY263" s="280"/>
      <c r="AZ263" s="268"/>
      <c r="BA263" s="268"/>
      <c r="BB263" s="13"/>
      <c r="BC263" s="36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</row>
    <row r="264" spans="1:73">
      <c r="A264" s="13"/>
      <c r="B264" s="13"/>
      <c r="C264" s="13"/>
      <c r="D264" s="13"/>
      <c r="E264" s="13"/>
      <c r="F264" s="13"/>
      <c r="G264" s="36"/>
      <c r="H264" s="36"/>
      <c r="I264" s="36"/>
      <c r="J264" s="36"/>
      <c r="K264" s="36"/>
      <c r="L264" s="36"/>
      <c r="M264" s="36"/>
      <c r="N264" s="13"/>
      <c r="O264" s="202"/>
      <c r="P264" s="36"/>
      <c r="Q264" s="52"/>
      <c r="R264" s="52"/>
      <c r="S264" s="52"/>
      <c r="U264" s="202"/>
      <c r="V264" s="202"/>
      <c r="W264" s="202"/>
      <c r="X264" s="202"/>
      <c r="Y264" s="13"/>
      <c r="Z264" s="36"/>
      <c r="AA264" s="13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289"/>
      <c r="AO264" s="289"/>
      <c r="AP264" s="289"/>
      <c r="AQ264" s="36"/>
      <c r="AR264" s="283"/>
      <c r="AS264" s="13"/>
      <c r="AT264" s="13"/>
      <c r="AU264" s="32"/>
      <c r="AV264" s="277"/>
      <c r="AW264" s="277"/>
      <c r="AX264" s="277"/>
      <c r="AY264" s="280"/>
      <c r="AZ264" s="268"/>
      <c r="BA264" s="268"/>
      <c r="BB264" s="13"/>
      <c r="BC264" s="36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</row>
    <row r="265" spans="1:73">
      <c r="A265" s="13"/>
      <c r="B265" s="13"/>
      <c r="C265" s="13"/>
      <c r="D265" s="13"/>
      <c r="E265" s="13"/>
      <c r="F265" s="13"/>
      <c r="G265" s="36"/>
      <c r="H265" s="36"/>
      <c r="I265" s="36"/>
      <c r="J265" s="36"/>
      <c r="K265" s="36"/>
      <c r="L265" s="36"/>
      <c r="M265" s="36"/>
      <c r="N265" s="13"/>
      <c r="O265" s="202"/>
      <c r="P265" s="36"/>
      <c r="Q265" s="52"/>
      <c r="R265" s="52"/>
      <c r="S265" s="52"/>
      <c r="U265" s="202"/>
      <c r="V265" s="202"/>
      <c r="W265" s="202"/>
      <c r="X265" s="202"/>
      <c r="Y265" s="13"/>
      <c r="Z265" s="36"/>
      <c r="AA265" s="13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289"/>
      <c r="AO265" s="289"/>
      <c r="AP265" s="289"/>
      <c r="AQ265" s="36"/>
      <c r="AR265" s="283"/>
      <c r="AS265" s="13"/>
      <c r="AT265" s="13"/>
      <c r="AU265" s="32"/>
      <c r="AV265" s="277"/>
      <c r="AW265" s="277"/>
      <c r="AX265" s="277"/>
      <c r="AY265" s="280"/>
      <c r="AZ265" s="268"/>
      <c r="BA265" s="268"/>
      <c r="BB265" s="13"/>
      <c r="BC265" s="36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</row>
    <row r="266" spans="1:73">
      <c r="A266" s="13"/>
      <c r="B266" s="13"/>
      <c r="C266" s="13"/>
      <c r="D266" s="13"/>
      <c r="E266" s="13"/>
      <c r="F266" s="13"/>
      <c r="G266" s="36"/>
      <c r="H266" s="36"/>
      <c r="I266" s="36"/>
      <c r="J266" s="36"/>
      <c r="K266" s="36"/>
      <c r="L266" s="36"/>
      <c r="M266" s="36"/>
      <c r="N266" s="13"/>
      <c r="O266" s="202"/>
      <c r="P266" s="36"/>
      <c r="Q266" s="52"/>
      <c r="R266" s="52"/>
      <c r="S266" s="52"/>
      <c r="U266" s="202"/>
      <c r="V266" s="202"/>
      <c r="W266" s="202"/>
      <c r="X266" s="202"/>
      <c r="Y266" s="13"/>
      <c r="Z266" s="36"/>
      <c r="AA266" s="13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289"/>
      <c r="AO266" s="289"/>
      <c r="AP266" s="289"/>
      <c r="AQ266" s="36"/>
      <c r="AR266" s="283"/>
      <c r="AS266" s="13"/>
      <c r="AT266" s="13"/>
      <c r="AU266" s="32"/>
      <c r="AV266" s="277"/>
      <c r="AW266" s="277"/>
      <c r="AX266" s="277"/>
      <c r="AY266" s="280"/>
      <c r="AZ266" s="268"/>
      <c r="BA266" s="268"/>
      <c r="BB266" s="13"/>
      <c r="BC266" s="36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</row>
    <row r="267" spans="1:73">
      <c r="A267" s="13"/>
      <c r="B267" s="13"/>
      <c r="C267" s="13"/>
      <c r="D267" s="13"/>
      <c r="E267" s="13"/>
      <c r="F267" s="13"/>
      <c r="G267" s="36"/>
      <c r="H267" s="36"/>
      <c r="I267" s="36"/>
      <c r="J267" s="36"/>
      <c r="K267" s="36"/>
      <c r="L267" s="36"/>
      <c r="M267" s="36"/>
      <c r="N267" s="13"/>
      <c r="O267" s="202"/>
      <c r="P267" s="36"/>
      <c r="Q267" s="52"/>
      <c r="R267" s="52"/>
      <c r="S267" s="52"/>
      <c r="U267" s="202"/>
      <c r="V267" s="202"/>
      <c r="W267" s="202"/>
      <c r="X267" s="202"/>
      <c r="Y267" s="13"/>
      <c r="Z267" s="36"/>
      <c r="AA267" s="13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289"/>
      <c r="AO267" s="289"/>
      <c r="AP267" s="289"/>
      <c r="AQ267" s="36"/>
      <c r="AR267" s="283"/>
      <c r="AS267" s="13"/>
      <c r="AT267" s="13"/>
      <c r="AU267" s="32"/>
      <c r="AV267" s="277"/>
      <c r="AW267" s="277"/>
      <c r="AX267" s="277"/>
      <c r="AY267" s="280"/>
      <c r="AZ267" s="268"/>
      <c r="BA267" s="268"/>
      <c r="BB267" s="13"/>
      <c r="BC267" s="36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</row>
    <row r="268" spans="1:73">
      <c r="A268" s="13"/>
      <c r="B268" s="13"/>
      <c r="C268" s="13"/>
      <c r="D268" s="13"/>
      <c r="E268" s="13"/>
      <c r="F268" s="13"/>
      <c r="G268" s="36"/>
      <c r="H268" s="36"/>
      <c r="I268" s="36"/>
      <c r="J268" s="36"/>
      <c r="K268" s="36"/>
      <c r="L268" s="36"/>
      <c r="M268" s="36"/>
      <c r="N268" s="13"/>
      <c r="O268" s="202"/>
      <c r="P268" s="36"/>
      <c r="Q268" s="52"/>
      <c r="R268" s="52"/>
      <c r="S268" s="52"/>
      <c r="U268" s="202"/>
      <c r="V268" s="202"/>
      <c r="W268" s="202"/>
      <c r="X268" s="202"/>
      <c r="Y268" s="13"/>
      <c r="Z268" s="36"/>
      <c r="AA268" s="13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289"/>
      <c r="AO268" s="289"/>
      <c r="AP268" s="289"/>
      <c r="AQ268" s="36"/>
      <c r="AR268" s="283"/>
      <c r="AS268" s="13"/>
      <c r="AT268" s="13"/>
      <c r="AU268" s="32"/>
      <c r="AV268" s="277"/>
      <c r="AW268" s="277"/>
      <c r="AX268" s="277"/>
      <c r="AY268" s="280"/>
      <c r="AZ268" s="268"/>
      <c r="BA268" s="268"/>
      <c r="BB268" s="13"/>
      <c r="BC268" s="36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</row>
    <row r="269" spans="1:73">
      <c r="A269" s="13"/>
      <c r="B269" s="13"/>
      <c r="C269" s="13"/>
      <c r="D269" s="13"/>
      <c r="E269" s="13"/>
      <c r="F269" s="13"/>
      <c r="G269" s="36"/>
      <c r="H269" s="36"/>
      <c r="I269" s="36"/>
      <c r="J269" s="36"/>
      <c r="K269" s="36"/>
      <c r="L269" s="36"/>
      <c r="M269" s="36"/>
      <c r="N269" s="13"/>
      <c r="O269" s="202"/>
      <c r="P269" s="36"/>
      <c r="Q269" s="52"/>
      <c r="R269" s="52"/>
      <c r="S269" s="52"/>
      <c r="U269" s="202"/>
      <c r="V269" s="202"/>
      <c r="W269" s="202"/>
      <c r="X269" s="202"/>
      <c r="Y269" s="13"/>
      <c r="Z269" s="36"/>
      <c r="AA269" s="13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289"/>
      <c r="AO269" s="289"/>
      <c r="AP269" s="289"/>
      <c r="AQ269" s="36"/>
      <c r="AR269" s="283"/>
      <c r="AS269" s="13"/>
      <c r="AT269" s="13"/>
      <c r="AU269" s="32"/>
      <c r="AV269" s="277"/>
      <c r="AW269" s="277"/>
      <c r="AX269" s="277"/>
      <c r="AY269" s="280"/>
      <c r="AZ269" s="268"/>
      <c r="BA269" s="268"/>
      <c r="BB269" s="13"/>
      <c r="BC269" s="36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</row>
    <row r="270" spans="1:73">
      <c r="A270" s="13"/>
      <c r="B270" s="13"/>
      <c r="C270" s="13"/>
      <c r="D270" s="13"/>
      <c r="E270" s="13"/>
      <c r="F270" s="13"/>
      <c r="G270" s="36"/>
      <c r="H270" s="36"/>
      <c r="I270" s="36"/>
      <c r="J270" s="36"/>
      <c r="K270" s="36"/>
      <c r="L270" s="36"/>
      <c r="M270" s="36"/>
      <c r="N270" s="13"/>
      <c r="O270" s="202"/>
      <c r="P270" s="36"/>
      <c r="Q270" s="52"/>
      <c r="R270" s="52"/>
      <c r="S270" s="52"/>
      <c r="U270" s="202"/>
      <c r="V270" s="202"/>
      <c r="W270" s="202"/>
      <c r="X270" s="202"/>
      <c r="Y270" s="13"/>
      <c r="Z270" s="36"/>
      <c r="AA270" s="13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289"/>
      <c r="AO270" s="289"/>
      <c r="AP270" s="289"/>
      <c r="AQ270" s="36"/>
      <c r="AR270" s="283"/>
      <c r="AS270" s="13"/>
      <c r="AT270" s="13"/>
      <c r="AU270" s="32"/>
      <c r="AV270" s="277"/>
      <c r="AW270" s="277"/>
      <c r="AX270" s="277"/>
      <c r="AY270" s="280"/>
      <c r="AZ270" s="268"/>
      <c r="BA270" s="268"/>
      <c r="BB270" s="13"/>
      <c r="BC270" s="36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</row>
    <row r="271" spans="1:73">
      <c r="A271" s="13"/>
      <c r="B271" s="13"/>
      <c r="C271" s="13"/>
      <c r="D271" s="13"/>
      <c r="E271" s="13"/>
      <c r="F271" s="13"/>
      <c r="G271" s="36"/>
      <c r="H271" s="36"/>
      <c r="I271" s="36"/>
      <c r="J271" s="36"/>
      <c r="K271" s="36"/>
      <c r="L271" s="36"/>
      <c r="M271" s="36"/>
      <c r="N271" s="13"/>
      <c r="O271" s="202"/>
      <c r="P271" s="36"/>
      <c r="Q271" s="52"/>
      <c r="R271" s="52"/>
      <c r="S271" s="52"/>
      <c r="U271" s="202"/>
      <c r="V271" s="202"/>
      <c r="W271" s="202"/>
      <c r="X271" s="202"/>
      <c r="Y271" s="13"/>
      <c r="Z271" s="36"/>
      <c r="AA271" s="13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289"/>
      <c r="AO271" s="289"/>
      <c r="AP271" s="289"/>
      <c r="AQ271" s="36"/>
      <c r="AR271" s="283"/>
      <c r="AS271" s="13"/>
      <c r="AT271" s="13"/>
      <c r="AU271" s="32"/>
      <c r="AV271" s="277"/>
      <c r="AW271" s="277"/>
      <c r="AX271" s="277"/>
      <c r="AY271" s="280"/>
      <c r="AZ271" s="268"/>
      <c r="BA271" s="268"/>
      <c r="BB271" s="13"/>
      <c r="BC271" s="36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</row>
    <row r="272" spans="1:73">
      <c r="A272" s="13"/>
      <c r="B272" s="13"/>
      <c r="C272" s="13"/>
      <c r="D272" s="13"/>
      <c r="E272" s="13"/>
      <c r="F272" s="13"/>
      <c r="G272" s="36"/>
      <c r="H272" s="36"/>
      <c r="I272" s="36"/>
      <c r="J272" s="36"/>
      <c r="K272" s="36"/>
      <c r="L272" s="36"/>
      <c r="M272" s="36"/>
      <c r="N272" s="13"/>
      <c r="O272" s="202"/>
      <c r="P272" s="36"/>
      <c r="Q272" s="52"/>
      <c r="R272" s="52"/>
      <c r="S272" s="52"/>
      <c r="U272" s="202"/>
      <c r="V272" s="202"/>
      <c r="W272" s="202"/>
      <c r="X272" s="202"/>
      <c r="Y272" s="13"/>
      <c r="Z272" s="36"/>
      <c r="AA272" s="13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289"/>
      <c r="AO272" s="289"/>
      <c r="AP272" s="289"/>
      <c r="AQ272" s="36"/>
      <c r="AR272" s="283"/>
      <c r="AS272" s="13"/>
      <c r="AT272" s="13"/>
      <c r="AU272" s="32"/>
      <c r="AV272" s="277"/>
      <c r="AW272" s="277"/>
      <c r="AX272" s="277"/>
      <c r="AY272" s="280"/>
      <c r="AZ272" s="268"/>
      <c r="BA272" s="268"/>
      <c r="BB272" s="13"/>
      <c r="BC272" s="36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</row>
    <row r="273" spans="1:73">
      <c r="A273" s="13"/>
      <c r="B273" s="13"/>
      <c r="C273" s="13"/>
      <c r="D273" s="13"/>
      <c r="E273" s="13"/>
      <c r="F273" s="13"/>
      <c r="G273" s="36"/>
      <c r="H273" s="36"/>
      <c r="I273" s="36"/>
      <c r="J273" s="36"/>
      <c r="K273" s="36"/>
      <c r="L273" s="36"/>
      <c r="M273" s="36"/>
      <c r="N273" s="13"/>
      <c r="O273" s="202"/>
      <c r="P273" s="36"/>
      <c r="Q273" s="52"/>
      <c r="R273" s="52"/>
      <c r="S273" s="52"/>
      <c r="U273" s="202"/>
      <c r="V273" s="202"/>
      <c r="W273" s="202"/>
      <c r="X273" s="202"/>
      <c r="Y273" s="13"/>
      <c r="Z273" s="36"/>
      <c r="AA273" s="13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289"/>
      <c r="AO273" s="289"/>
      <c r="AP273" s="289"/>
      <c r="AQ273" s="36"/>
      <c r="AR273" s="283"/>
      <c r="AS273" s="13"/>
      <c r="AT273" s="13"/>
      <c r="AU273" s="32"/>
      <c r="AV273" s="277"/>
      <c r="AW273" s="277"/>
      <c r="AX273" s="277"/>
      <c r="AY273" s="280"/>
      <c r="AZ273" s="268"/>
      <c r="BA273" s="268"/>
      <c r="BB273" s="13"/>
      <c r="BC273" s="36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</row>
    <row r="274" spans="1:73">
      <c r="A274" s="13"/>
      <c r="B274" s="13"/>
      <c r="C274" s="13"/>
      <c r="D274" s="13"/>
      <c r="E274" s="13"/>
      <c r="F274" s="13"/>
      <c r="G274" s="36"/>
      <c r="H274" s="36"/>
      <c r="I274" s="36"/>
      <c r="J274" s="36"/>
      <c r="K274" s="36"/>
      <c r="L274" s="36"/>
      <c r="M274" s="36"/>
      <c r="N274" s="13"/>
      <c r="O274" s="202"/>
      <c r="P274" s="36"/>
      <c r="Q274" s="52"/>
      <c r="R274" s="52"/>
      <c r="S274" s="52"/>
      <c r="U274" s="202"/>
      <c r="V274" s="202"/>
      <c r="W274" s="202"/>
      <c r="X274" s="202"/>
      <c r="Y274" s="13"/>
      <c r="Z274" s="36"/>
      <c r="AA274" s="13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289"/>
      <c r="AO274" s="289"/>
      <c r="AP274" s="289"/>
      <c r="AQ274" s="36"/>
      <c r="AR274" s="283"/>
      <c r="AS274" s="13"/>
      <c r="AT274" s="13"/>
      <c r="AU274" s="32"/>
      <c r="AV274" s="277"/>
      <c r="AW274" s="277"/>
      <c r="AX274" s="277"/>
      <c r="AY274" s="280"/>
      <c r="AZ274" s="268"/>
      <c r="BA274" s="268"/>
      <c r="BB274" s="13"/>
      <c r="BC274" s="36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</row>
    <row r="275" spans="1:73">
      <c r="A275" s="13"/>
      <c r="B275" s="13"/>
      <c r="C275" s="13"/>
      <c r="D275" s="13"/>
      <c r="E275" s="13"/>
      <c r="F275" s="13"/>
      <c r="G275" s="36"/>
      <c r="H275" s="36"/>
      <c r="I275" s="36"/>
      <c r="J275" s="36"/>
      <c r="K275" s="36"/>
      <c r="L275" s="36"/>
      <c r="M275" s="36"/>
      <c r="N275" s="13"/>
      <c r="O275" s="202"/>
      <c r="P275" s="36"/>
      <c r="Q275" s="52"/>
      <c r="R275" s="52"/>
      <c r="S275" s="52"/>
      <c r="U275" s="202"/>
      <c r="V275" s="202"/>
      <c r="W275" s="202"/>
      <c r="X275" s="202"/>
      <c r="Y275" s="13"/>
      <c r="Z275" s="36"/>
      <c r="AA275" s="13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289"/>
      <c r="AO275" s="289"/>
      <c r="AP275" s="289"/>
      <c r="AQ275" s="36"/>
      <c r="AR275" s="283"/>
      <c r="AS275" s="13"/>
      <c r="AT275" s="13"/>
      <c r="AU275" s="32"/>
      <c r="AV275" s="277"/>
      <c r="AW275" s="277"/>
      <c r="AX275" s="277"/>
      <c r="AY275" s="280"/>
      <c r="AZ275" s="268"/>
      <c r="BA275" s="268"/>
      <c r="BB275" s="13"/>
      <c r="BC275" s="36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</row>
    <row r="276" spans="1:73">
      <c r="A276" s="13"/>
      <c r="B276" s="13"/>
      <c r="C276" s="13"/>
      <c r="D276" s="13"/>
      <c r="E276" s="13"/>
      <c r="F276" s="13"/>
      <c r="G276" s="36"/>
      <c r="H276" s="36"/>
      <c r="I276" s="36"/>
      <c r="J276" s="36"/>
      <c r="K276" s="36"/>
      <c r="L276" s="36"/>
      <c r="M276" s="36"/>
      <c r="N276" s="13"/>
      <c r="O276" s="202"/>
      <c r="P276" s="36"/>
      <c r="Q276" s="52"/>
      <c r="R276" s="52"/>
      <c r="S276" s="52"/>
      <c r="U276" s="202"/>
      <c r="V276" s="202"/>
      <c r="W276" s="202"/>
      <c r="X276" s="202"/>
      <c r="Y276" s="13"/>
      <c r="Z276" s="36"/>
      <c r="AA276" s="13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289"/>
      <c r="AO276" s="289"/>
      <c r="AP276" s="289"/>
      <c r="AQ276" s="36"/>
      <c r="AR276" s="283"/>
      <c r="AS276" s="13"/>
      <c r="AT276" s="13"/>
      <c r="AU276" s="32"/>
      <c r="AV276" s="277"/>
      <c r="AW276" s="277"/>
      <c r="AX276" s="277"/>
      <c r="AY276" s="280"/>
      <c r="AZ276" s="268"/>
      <c r="BA276" s="268"/>
      <c r="BB276" s="13"/>
      <c r="BC276" s="36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</row>
    <row r="277" spans="1:73">
      <c r="A277" s="13"/>
      <c r="B277" s="13"/>
      <c r="C277" s="13"/>
      <c r="D277" s="13"/>
      <c r="E277" s="13"/>
      <c r="F277" s="13"/>
      <c r="G277" s="36"/>
      <c r="H277" s="36"/>
      <c r="I277" s="36"/>
      <c r="J277" s="36"/>
      <c r="K277" s="36"/>
      <c r="L277" s="36"/>
      <c r="M277" s="36"/>
      <c r="N277" s="13"/>
      <c r="O277" s="202"/>
      <c r="P277" s="36"/>
      <c r="Q277" s="52"/>
      <c r="R277" s="52"/>
      <c r="S277" s="52"/>
      <c r="U277" s="202"/>
      <c r="V277" s="202"/>
      <c r="W277" s="202"/>
      <c r="X277" s="202"/>
      <c r="Y277" s="13"/>
      <c r="Z277" s="36"/>
      <c r="AA277" s="13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289"/>
      <c r="AO277" s="289"/>
      <c r="AP277" s="289"/>
      <c r="AQ277" s="36"/>
      <c r="AR277" s="283"/>
      <c r="AS277" s="13"/>
      <c r="AT277" s="13"/>
      <c r="AU277" s="32"/>
      <c r="AV277" s="277"/>
      <c r="AW277" s="277"/>
      <c r="AX277" s="277"/>
      <c r="AY277" s="280"/>
      <c r="AZ277" s="268"/>
      <c r="BA277" s="268"/>
      <c r="BB277" s="13"/>
      <c r="BC277" s="36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</row>
    <row r="278" spans="1:73">
      <c r="A278" s="13"/>
      <c r="B278" s="13"/>
      <c r="C278" s="13"/>
      <c r="D278" s="13"/>
      <c r="E278" s="13"/>
      <c r="F278" s="13"/>
      <c r="G278" s="36"/>
      <c r="H278" s="36"/>
      <c r="I278" s="36"/>
      <c r="J278" s="36"/>
      <c r="K278" s="36"/>
      <c r="L278" s="36"/>
      <c r="M278" s="36"/>
      <c r="N278" s="13"/>
      <c r="O278" s="202"/>
      <c r="P278" s="36"/>
      <c r="Q278" s="52"/>
      <c r="R278" s="52"/>
      <c r="S278" s="52"/>
      <c r="U278" s="202"/>
      <c r="V278" s="202"/>
      <c r="W278" s="202"/>
      <c r="X278" s="202"/>
      <c r="Y278" s="13"/>
      <c r="Z278" s="36"/>
      <c r="AA278" s="13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289"/>
      <c r="AO278" s="289"/>
      <c r="AP278" s="289"/>
      <c r="AQ278" s="36"/>
      <c r="AR278" s="283"/>
      <c r="AS278" s="13"/>
      <c r="AT278" s="13"/>
      <c r="AU278" s="32"/>
      <c r="AV278" s="277"/>
      <c r="AW278" s="277"/>
      <c r="AX278" s="277"/>
      <c r="AY278" s="280"/>
      <c r="AZ278" s="268"/>
      <c r="BA278" s="268"/>
      <c r="BB278" s="13"/>
      <c r="BC278" s="36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</row>
    <row r="279" spans="1:73">
      <c r="A279" s="13"/>
      <c r="B279" s="13"/>
      <c r="C279" s="13"/>
      <c r="D279" s="13"/>
      <c r="E279" s="13"/>
      <c r="F279" s="13"/>
      <c r="G279" s="36"/>
      <c r="H279" s="36"/>
      <c r="I279" s="36"/>
      <c r="J279" s="36"/>
      <c r="K279" s="36"/>
      <c r="L279" s="36"/>
      <c r="M279" s="36"/>
      <c r="N279" s="13"/>
      <c r="O279" s="202"/>
      <c r="P279" s="36"/>
      <c r="Q279" s="52"/>
      <c r="R279" s="52"/>
      <c r="S279" s="52"/>
      <c r="U279" s="202"/>
      <c r="V279" s="202"/>
      <c r="W279" s="202"/>
      <c r="X279" s="202"/>
      <c r="Y279" s="13"/>
      <c r="Z279" s="36"/>
      <c r="AA279" s="13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289"/>
      <c r="AO279" s="289"/>
      <c r="AP279" s="289"/>
      <c r="AQ279" s="36"/>
      <c r="AR279" s="283"/>
      <c r="AS279" s="13"/>
      <c r="AT279" s="13"/>
      <c r="AU279" s="32"/>
      <c r="AV279" s="277"/>
      <c r="AW279" s="277"/>
      <c r="AX279" s="277"/>
      <c r="AY279" s="280"/>
      <c r="AZ279" s="268"/>
      <c r="BA279" s="268"/>
      <c r="BB279" s="13"/>
      <c r="BC279" s="36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</row>
    <row r="280" spans="1:73">
      <c r="A280" s="13"/>
      <c r="B280" s="13"/>
      <c r="C280" s="13"/>
      <c r="D280" s="13"/>
      <c r="E280" s="13"/>
      <c r="F280" s="13"/>
      <c r="G280" s="36"/>
      <c r="H280" s="36"/>
      <c r="I280" s="36"/>
      <c r="J280" s="36"/>
      <c r="K280" s="36"/>
      <c r="L280" s="36"/>
      <c r="M280" s="36"/>
      <c r="N280" s="13"/>
      <c r="O280" s="202"/>
      <c r="P280" s="36"/>
      <c r="Q280" s="52"/>
      <c r="R280" s="52"/>
      <c r="S280" s="52"/>
      <c r="U280" s="202"/>
      <c r="V280" s="202"/>
      <c r="W280" s="202"/>
      <c r="X280" s="202"/>
      <c r="Y280" s="13"/>
      <c r="Z280" s="36"/>
      <c r="AA280" s="13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289"/>
      <c r="AO280" s="289"/>
      <c r="AP280" s="289"/>
      <c r="AQ280" s="36"/>
      <c r="AR280" s="283"/>
      <c r="AS280" s="13"/>
      <c r="AT280" s="13"/>
      <c r="AU280" s="32"/>
      <c r="AV280" s="277"/>
      <c r="AW280" s="277"/>
      <c r="AX280" s="277"/>
      <c r="AY280" s="280"/>
      <c r="AZ280" s="268"/>
      <c r="BA280" s="268"/>
      <c r="BB280" s="13"/>
      <c r="BC280" s="36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</row>
    <row r="281" spans="1:73">
      <c r="A281" s="13"/>
      <c r="B281" s="13"/>
      <c r="C281" s="13"/>
      <c r="D281" s="13"/>
      <c r="E281" s="13"/>
      <c r="F281" s="13"/>
      <c r="G281" s="36"/>
      <c r="H281" s="36"/>
      <c r="I281" s="36"/>
      <c r="J281" s="36"/>
      <c r="K281" s="36"/>
      <c r="L281" s="36"/>
      <c r="M281" s="36"/>
      <c r="N281" s="13"/>
      <c r="O281" s="202"/>
      <c r="P281" s="36"/>
      <c r="Q281" s="52"/>
      <c r="R281" s="52"/>
      <c r="S281" s="52"/>
      <c r="U281" s="202"/>
      <c r="V281" s="202"/>
      <c r="W281" s="202"/>
      <c r="X281" s="202"/>
      <c r="Y281" s="13"/>
      <c r="Z281" s="36"/>
      <c r="AA281" s="13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289"/>
      <c r="AO281" s="289"/>
      <c r="AP281" s="289"/>
      <c r="AQ281" s="36"/>
      <c r="AR281" s="283"/>
      <c r="AS281" s="13"/>
      <c r="AT281" s="13"/>
      <c r="AU281" s="32"/>
      <c r="AV281" s="277"/>
      <c r="AW281" s="277"/>
      <c r="AX281" s="277"/>
      <c r="AY281" s="280"/>
      <c r="AZ281" s="268"/>
      <c r="BA281" s="268"/>
      <c r="BB281" s="13"/>
      <c r="BC281" s="36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</row>
    <row r="282" spans="1:73">
      <c r="A282" s="13"/>
      <c r="B282" s="13"/>
      <c r="C282" s="13"/>
      <c r="D282" s="13"/>
      <c r="E282" s="13"/>
      <c r="F282" s="13"/>
      <c r="G282" s="36"/>
      <c r="H282" s="36"/>
      <c r="I282" s="36"/>
      <c r="J282" s="36"/>
      <c r="K282" s="36"/>
      <c r="L282" s="36"/>
      <c r="M282" s="36"/>
      <c r="N282" s="13"/>
      <c r="O282" s="202"/>
      <c r="P282" s="36"/>
      <c r="Q282" s="52"/>
      <c r="R282" s="52"/>
      <c r="S282" s="52"/>
      <c r="U282" s="202"/>
      <c r="V282" s="202"/>
      <c r="W282" s="202"/>
      <c r="X282" s="202"/>
      <c r="Y282" s="13"/>
      <c r="Z282" s="36"/>
      <c r="AA282" s="13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289"/>
      <c r="AO282" s="289"/>
      <c r="AP282" s="289"/>
      <c r="AQ282" s="36"/>
      <c r="AR282" s="283"/>
      <c r="AS282" s="13"/>
      <c r="AT282" s="13"/>
      <c r="AU282" s="32"/>
      <c r="AV282" s="277"/>
      <c r="AW282" s="277"/>
      <c r="AX282" s="277"/>
      <c r="AY282" s="280"/>
      <c r="AZ282" s="268"/>
      <c r="BA282" s="268"/>
      <c r="BB282" s="13"/>
      <c r="BC282" s="36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</row>
    <row r="283" spans="1:73">
      <c r="A283" s="13"/>
      <c r="B283" s="13"/>
      <c r="C283" s="13"/>
      <c r="D283" s="13"/>
      <c r="E283" s="13"/>
      <c r="F283" s="13"/>
      <c r="G283" s="36"/>
      <c r="H283" s="36"/>
      <c r="I283" s="36"/>
      <c r="J283" s="36"/>
      <c r="K283" s="36"/>
      <c r="L283" s="36"/>
      <c r="M283" s="36"/>
      <c r="N283" s="13"/>
      <c r="O283" s="202"/>
      <c r="P283" s="36"/>
      <c r="Q283" s="52"/>
      <c r="R283" s="52"/>
      <c r="S283" s="52"/>
      <c r="U283" s="202"/>
      <c r="V283" s="202"/>
      <c r="W283" s="202"/>
      <c r="X283" s="202"/>
      <c r="Y283" s="13"/>
      <c r="Z283" s="36"/>
      <c r="AA283" s="13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289"/>
      <c r="AO283" s="289"/>
      <c r="AP283" s="289"/>
      <c r="AQ283" s="36"/>
      <c r="AR283" s="283"/>
      <c r="AS283" s="13"/>
      <c r="AT283" s="13"/>
      <c r="AU283" s="32"/>
      <c r="AV283" s="277"/>
      <c r="AW283" s="277"/>
      <c r="AX283" s="277"/>
      <c r="AY283" s="280"/>
      <c r="AZ283" s="268"/>
      <c r="BA283" s="268"/>
      <c r="BB283" s="13"/>
      <c r="BC283" s="36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</row>
    <row r="284" spans="1:73">
      <c r="A284" s="13"/>
      <c r="B284" s="13"/>
      <c r="C284" s="13"/>
      <c r="D284" s="13"/>
      <c r="E284" s="13"/>
      <c r="F284" s="13"/>
      <c r="G284" s="36"/>
      <c r="H284" s="36"/>
      <c r="I284" s="36"/>
      <c r="J284" s="36"/>
      <c r="K284" s="36"/>
      <c r="L284" s="36"/>
      <c r="M284" s="36"/>
      <c r="N284" s="13"/>
      <c r="O284" s="202"/>
      <c r="P284" s="36"/>
      <c r="Q284" s="52"/>
      <c r="R284" s="52"/>
      <c r="S284" s="52"/>
      <c r="U284" s="202"/>
      <c r="V284" s="202"/>
      <c r="W284" s="202"/>
      <c r="X284" s="202"/>
      <c r="Y284" s="13"/>
      <c r="Z284" s="36"/>
      <c r="AA284" s="13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289"/>
      <c r="AO284" s="289"/>
      <c r="AP284" s="289"/>
      <c r="AQ284" s="36"/>
      <c r="AR284" s="283"/>
      <c r="AS284" s="13"/>
      <c r="AT284" s="13"/>
      <c r="AU284" s="32"/>
      <c r="AV284" s="277"/>
      <c r="AW284" s="277"/>
      <c r="AX284" s="277"/>
      <c r="AY284" s="280"/>
      <c r="AZ284" s="268"/>
      <c r="BA284" s="268"/>
      <c r="BB284" s="13"/>
      <c r="BC284" s="36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</row>
    <row r="285" spans="1:73">
      <c r="A285" s="13"/>
      <c r="B285" s="13"/>
      <c r="C285" s="13"/>
      <c r="D285" s="13"/>
      <c r="E285" s="13"/>
      <c r="F285" s="13"/>
      <c r="G285" s="36"/>
      <c r="H285" s="36"/>
      <c r="I285" s="36"/>
      <c r="J285" s="36"/>
      <c r="K285" s="36"/>
      <c r="L285" s="36"/>
      <c r="M285" s="36"/>
      <c r="N285" s="13"/>
      <c r="O285" s="202"/>
      <c r="P285" s="36"/>
      <c r="Q285" s="52"/>
      <c r="R285" s="52"/>
      <c r="S285" s="52"/>
      <c r="U285" s="202"/>
      <c r="V285" s="202"/>
      <c r="W285" s="202"/>
      <c r="X285" s="202"/>
      <c r="Y285" s="13"/>
      <c r="Z285" s="36"/>
      <c r="AA285" s="13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289"/>
      <c r="AO285" s="289"/>
      <c r="AP285" s="289"/>
      <c r="AQ285" s="36"/>
      <c r="AR285" s="283"/>
      <c r="AS285" s="13"/>
      <c r="AT285" s="13"/>
      <c r="AU285" s="32"/>
      <c r="AV285" s="277"/>
      <c r="AW285" s="277"/>
      <c r="AX285" s="277"/>
      <c r="AY285" s="280"/>
      <c r="AZ285" s="268"/>
      <c r="BA285" s="268"/>
      <c r="BB285" s="13"/>
      <c r="BC285" s="36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</row>
    <row r="286" spans="1:73">
      <c r="A286" s="13"/>
      <c r="B286" s="13"/>
      <c r="C286" s="13"/>
      <c r="D286" s="13"/>
      <c r="E286" s="13"/>
      <c r="F286" s="13"/>
      <c r="G286" s="36"/>
      <c r="H286" s="36"/>
      <c r="I286" s="36"/>
      <c r="J286" s="36"/>
      <c r="K286" s="36"/>
      <c r="L286" s="36"/>
      <c r="M286" s="36"/>
      <c r="N286" s="13"/>
      <c r="O286" s="202"/>
      <c r="P286" s="36"/>
      <c r="Q286" s="52"/>
      <c r="R286" s="52"/>
      <c r="S286" s="52"/>
      <c r="U286" s="202"/>
      <c r="V286" s="202"/>
      <c r="W286" s="202"/>
      <c r="X286" s="202"/>
      <c r="Y286" s="13"/>
      <c r="Z286" s="36"/>
      <c r="AA286" s="13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289"/>
      <c r="AO286" s="289"/>
      <c r="AP286" s="289"/>
      <c r="AQ286" s="36"/>
      <c r="AR286" s="283"/>
      <c r="AS286" s="13"/>
      <c r="AT286" s="13"/>
      <c r="AU286" s="32"/>
      <c r="AV286" s="277"/>
      <c r="AW286" s="277"/>
      <c r="AX286" s="277"/>
      <c r="AY286" s="280"/>
      <c r="AZ286" s="268"/>
      <c r="BA286" s="268"/>
      <c r="BB286" s="13"/>
      <c r="BC286" s="36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</row>
    <row r="287" spans="1:73">
      <c r="A287" s="13"/>
      <c r="B287" s="13"/>
      <c r="C287" s="13"/>
      <c r="D287" s="13"/>
      <c r="E287" s="13"/>
      <c r="F287" s="13"/>
      <c r="G287" s="36"/>
      <c r="H287" s="36"/>
      <c r="I287" s="36"/>
      <c r="J287" s="36"/>
      <c r="K287" s="36"/>
      <c r="L287" s="36"/>
      <c r="M287" s="36"/>
      <c r="N287" s="13"/>
      <c r="O287" s="202"/>
      <c r="P287" s="36"/>
      <c r="Q287" s="52"/>
      <c r="R287" s="52"/>
      <c r="S287" s="52"/>
      <c r="U287" s="202"/>
      <c r="V287" s="202"/>
      <c r="W287" s="202"/>
      <c r="X287" s="202"/>
      <c r="Y287" s="13"/>
      <c r="Z287" s="36"/>
      <c r="AA287" s="13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289"/>
      <c r="AO287" s="289"/>
      <c r="AP287" s="289"/>
      <c r="AQ287" s="36"/>
      <c r="AR287" s="283"/>
      <c r="AS287" s="13"/>
      <c r="AT287" s="13"/>
      <c r="AU287" s="32"/>
      <c r="AV287" s="277"/>
      <c r="AW287" s="277"/>
      <c r="AX287" s="277"/>
      <c r="AY287" s="280"/>
      <c r="AZ287" s="268"/>
      <c r="BA287" s="268"/>
      <c r="BB287" s="13"/>
      <c r="BC287" s="36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</row>
    <row r="288" spans="1:73">
      <c r="A288" s="13"/>
      <c r="B288" s="13"/>
      <c r="C288" s="13"/>
      <c r="D288" s="13"/>
      <c r="E288" s="13"/>
      <c r="F288" s="13"/>
      <c r="G288" s="36"/>
      <c r="H288" s="36"/>
      <c r="I288" s="36"/>
      <c r="J288" s="36"/>
      <c r="K288" s="36"/>
      <c r="L288" s="36"/>
      <c r="M288" s="36"/>
      <c r="N288" s="13"/>
      <c r="O288" s="202"/>
      <c r="P288" s="36"/>
      <c r="Q288" s="52"/>
      <c r="R288" s="52"/>
      <c r="S288" s="52"/>
      <c r="U288" s="202"/>
      <c r="V288" s="202"/>
      <c r="W288" s="202"/>
      <c r="X288" s="202"/>
      <c r="Y288" s="13"/>
      <c r="Z288" s="36"/>
      <c r="AA288" s="13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289"/>
      <c r="AO288" s="289"/>
      <c r="AP288" s="289"/>
      <c r="AQ288" s="36"/>
      <c r="AR288" s="283"/>
      <c r="AS288" s="13"/>
      <c r="AT288" s="13"/>
      <c r="AU288" s="32"/>
      <c r="AV288" s="277"/>
      <c r="AW288" s="277"/>
      <c r="AX288" s="277"/>
      <c r="AY288" s="280"/>
      <c r="AZ288" s="268"/>
      <c r="BA288" s="268"/>
      <c r="BB288" s="13"/>
      <c r="BC288" s="36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</row>
    <row r="289" spans="1:73">
      <c r="A289" s="13"/>
      <c r="B289" s="13"/>
      <c r="C289" s="13"/>
      <c r="D289" s="13"/>
      <c r="E289" s="13"/>
      <c r="F289" s="13"/>
      <c r="G289" s="36"/>
      <c r="H289" s="36"/>
      <c r="I289" s="36"/>
      <c r="J289" s="36"/>
      <c r="K289" s="36"/>
      <c r="L289" s="36"/>
      <c r="M289" s="36"/>
      <c r="N289" s="13"/>
      <c r="O289" s="202"/>
      <c r="P289" s="36"/>
      <c r="Q289" s="52"/>
      <c r="R289" s="52"/>
      <c r="S289" s="52"/>
      <c r="U289" s="202"/>
      <c r="V289" s="202"/>
      <c r="W289" s="202"/>
      <c r="X289" s="202"/>
      <c r="Y289" s="13"/>
      <c r="Z289" s="36"/>
      <c r="AA289" s="13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289"/>
      <c r="AO289" s="289"/>
      <c r="AP289" s="289"/>
      <c r="AQ289" s="36"/>
      <c r="AR289" s="283"/>
      <c r="AS289" s="13"/>
      <c r="AT289" s="13"/>
      <c r="AU289" s="32"/>
      <c r="AV289" s="277"/>
      <c r="AW289" s="277"/>
      <c r="AX289" s="277"/>
      <c r="AY289" s="280"/>
      <c r="AZ289" s="268"/>
      <c r="BA289" s="268"/>
      <c r="BB289" s="13"/>
      <c r="BC289" s="36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</row>
    <row r="290" spans="1:73">
      <c r="A290" s="13"/>
      <c r="B290" s="13"/>
      <c r="C290" s="13"/>
      <c r="D290" s="13"/>
      <c r="E290" s="13"/>
      <c r="F290" s="13"/>
      <c r="G290" s="36"/>
      <c r="H290" s="36"/>
      <c r="I290" s="36"/>
      <c r="J290" s="36"/>
      <c r="K290" s="36"/>
      <c r="L290" s="36"/>
      <c r="M290" s="36"/>
      <c r="N290" s="13"/>
      <c r="O290" s="202"/>
      <c r="P290" s="36"/>
      <c r="Q290" s="52"/>
      <c r="R290" s="52"/>
      <c r="S290" s="52"/>
      <c r="U290" s="202"/>
      <c r="V290" s="202"/>
      <c r="W290" s="202"/>
      <c r="X290" s="202"/>
      <c r="Y290" s="13"/>
      <c r="Z290" s="36"/>
      <c r="AA290" s="13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289"/>
      <c r="AO290" s="289"/>
      <c r="AP290" s="289"/>
      <c r="AQ290" s="36"/>
      <c r="AR290" s="283"/>
      <c r="AS290" s="13"/>
      <c r="AT290" s="13"/>
      <c r="AU290" s="32"/>
      <c r="AV290" s="277"/>
      <c r="AW290" s="277"/>
      <c r="AX290" s="277"/>
      <c r="AY290" s="280"/>
      <c r="AZ290" s="268"/>
      <c r="BA290" s="268"/>
      <c r="BB290" s="13"/>
      <c r="BC290" s="36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</row>
    <row r="291" spans="1:73">
      <c r="A291" s="13"/>
      <c r="B291" s="13"/>
      <c r="C291" s="13"/>
      <c r="D291" s="13"/>
      <c r="E291" s="13"/>
      <c r="F291" s="13"/>
      <c r="G291" s="36"/>
      <c r="H291" s="36"/>
      <c r="I291" s="36"/>
      <c r="J291" s="36"/>
      <c r="K291" s="36"/>
      <c r="L291" s="36"/>
      <c r="M291" s="36"/>
      <c r="N291" s="13"/>
      <c r="O291" s="202"/>
      <c r="P291" s="36"/>
      <c r="Q291" s="52"/>
      <c r="R291" s="52"/>
      <c r="S291" s="52"/>
      <c r="U291" s="202"/>
      <c r="V291" s="202"/>
      <c r="W291" s="202"/>
      <c r="X291" s="202"/>
      <c r="Y291" s="13"/>
      <c r="Z291" s="36"/>
      <c r="AA291" s="13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289"/>
      <c r="AO291" s="289"/>
      <c r="AP291" s="289"/>
      <c r="AQ291" s="36"/>
      <c r="AR291" s="283"/>
      <c r="AS291" s="13"/>
      <c r="AT291" s="13"/>
      <c r="AU291" s="32"/>
      <c r="AV291" s="277"/>
      <c r="AW291" s="277"/>
      <c r="AX291" s="277"/>
      <c r="AY291" s="280"/>
      <c r="AZ291" s="268"/>
      <c r="BA291" s="268"/>
      <c r="BB291" s="13"/>
      <c r="BC291" s="36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</row>
    <row r="292" spans="1:73">
      <c r="A292" s="13"/>
      <c r="B292" s="13"/>
      <c r="C292" s="13"/>
      <c r="D292" s="13"/>
      <c r="E292" s="13"/>
      <c r="F292" s="13"/>
      <c r="G292" s="36"/>
      <c r="H292" s="36"/>
      <c r="I292" s="36"/>
      <c r="J292" s="36"/>
      <c r="K292" s="36"/>
      <c r="L292" s="36"/>
      <c r="M292" s="36"/>
      <c r="N292" s="13"/>
      <c r="O292" s="202"/>
      <c r="P292" s="36"/>
      <c r="Q292" s="52"/>
      <c r="R292" s="52"/>
      <c r="S292" s="52"/>
      <c r="U292" s="202"/>
      <c r="V292" s="202"/>
      <c r="W292" s="202"/>
      <c r="X292" s="202"/>
      <c r="Y292" s="13"/>
      <c r="Z292" s="36"/>
      <c r="AA292" s="13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289"/>
      <c r="AO292" s="289"/>
      <c r="AP292" s="289"/>
      <c r="AQ292" s="36"/>
      <c r="AR292" s="283"/>
      <c r="AS292" s="13"/>
      <c r="AT292" s="13"/>
      <c r="AU292" s="32"/>
      <c r="AV292" s="277"/>
      <c r="AW292" s="277"/>
      <c r="AX292" s="277"/>
      <c r="AY292" s="280"/>
      <c r="AZ292" s="268"/>
      <c r="BA292" s="268"/>
      <c r="BB292" s="13"/>
      <c r="BC292" s="36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</row>
    <row r="293" spans="1:73">
      <c r="A293" s="13"/>
      <c r="B293" s="13"/>
      <c r="C293" s="13"/>
      <c r="D293" s="13"/>
      <c r="E293" s="13"/>
      <c r="F293" s="13"/>
      <c r="G293" s="36"/>
      <c r="H293" s="36"/>
      <c r="I293" s="36"/>
      <c r="J293" s="36"/>
      <c r="K293" s="36"/>
      <c r="L293" s="36"/>
      <c r="M293" s="36"/>
      <c r="N293" s="13"/>
      <c r="O293" s="202"/>
      <c r="P293" s="36"/>
      <c r="Q293" s="52"/>
      <c r="R293" s="52"/>
      <c r="S293" s="52"/>
      <c r="U293" s="202"/>
      <c r="V293" s="202"/>
      <c r="W293" s="202"/>
      <c r="X293" s="202"/>
      <c r="Y293" s="13"/>
      <c r="Z293" s="36"/>
      <c r="AA293" s="13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289"/>
      <c r="AO293" s="289"/>
      <c r="AP293" s="289"/>
      <c r="AQ293" s="36"/>
      <c r="AR293" s="283"/>
      <c r="AS293" s="13"/>
      <c r="AT293" s="13"/>
      <c r="AU293" s="32"/>
      <c r="AV293" s="277"/>
      <c r="AW293" s="277"/>
      <c r="AX293" s="277"/>
      <c r="AY293" s="280"/>
      <c r="AZ293" s="268"/>
      <c r="BA293" s="268"/>
      <c r="BB293" s="13"/>
      <c r="BC293" s="36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</row>
    <row r="294" spans="1:73">
      <c r="A294" s="13"/>
      <c r="B294" s="13"/>
      <c r="C294" s="13"/>
      <c r="D294" s="13"/>
      <c r="E294" s="13"/>
      <c r="F294" s="13"/>
      <c r="G294" s="36"/>
      <c r="H294" s="36"/>
      <c r="I294" s="36"/>
      <c r="J294" s="36"/>
      <c r="K294" s="36"/>
      <c r="L294" s="36"/>
      <c r="M294" s="36"/>
      <c r="N294" s="13"/>
      <c r="O294" s="202"/>
      <c r="P294" s="36"/>
      <c r="Q294" s="52"/>
      <c r="R294" s="52"/>
      <c r="S294" s="52"/>
      <c r="U294" s="202"/>
      <c r="V294" s="202"/>
      <c r="W294" s="202"/>
      <c r="X294" s="202"/>
      <c r="Y294" s="13"/>
      <c r="Z294" s="36"/>
      <c r="AA294" s="13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289"/>
      <c r="AO294" s="289"/>
      <c r="AP294" s="289"/>
      <c r="AQ294" s="36"/>
      <c r="AR294" s="283"/>
      <c r="AS294" s="13"/>
      <c r="AT294" s="13"/>
      <c r="AU294" s="32"/>
      <c r="AV294" s="277"/>
      <c r="AW294" s="277"/>
      <c r="AX294" s="277"/>
      <c r="AY294" s="280"/>
      <c r="AZ294" s="268"/>
      <c r="BA294" s="268"/>
      <c r="BB294" s="13"/>
      <c r="BC294" s="36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</row>
    <row r="295" spans="1:73">
      <c r="A295" s="13"/>
      <c r="B295" s="13"/>
      <c r="C295" s="13"/>
      <c r="D295" s="13"/>
      <c r="E295" s="13"/>
      <c r="F295" s="13"/>
      <c r="G295" s="36"/>
      <c r="H295" s="36"/>
      <c r="I295" s="36"/>
      <c r="J295" s="36"/>
      <c r="K295" s="36"/>
      <c r="L295" s="36"/>
      <c r="M295" s="36"/>
      <c r="N295" s="13"/>
      <c r="O295" s="202"/>
      <c r="P295" s="36"/>
      <c r="Q295" s="52"/>
      <c r="R295" s="52"/>
      <c r="S295" s="52"/>
      <c r="U295" s="202"/>
      <c r="V295" s="202"/>
      <c r="W295" s="202"/>
      <c r="X295" s="202"/>
      <c r="Y295" s="13"/>
      <c r="Z295" s="36"/>
      <c r="AA295" s="13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289"/>
      <c r="AO295" s="289"/>
      <c r="AP295" s="289"/>
      <c r="AQ295" s="36"/>
      <c r="AR295" s="283"/>
      <c r="AS295" s="13"/>
      <c r="AT295" s="13"/>
      <c r="AU295" s="32"/>
      <c r="AV295" s="277"/>
      <c r="AW295" s="277"/>
      <c r="AX295" s="277"/>
      <c r="AY295" s="280"/>
      <c r="AZ295" s="268"/>
      <c r="BA295" s="268"/>
      <c r="BB295" s="13"/>
      <c r="BC295" s="36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</row>
    <row r="296" spans="1:73">
      <c r="A296" s="13"/>
      <c r="B296" s="13"/>
      <c r="C296" s="13"/>
      <c r="D296" s="13"/>
      <c r="E296" s="13"/>
      <c r="F296" s="13"/>
      <c r="G296" s="36"/>
      <c r="H296" s="36"/>
      <c r="I296" s="36"/>
      <c r="J296" s="36"/>
      <c r="K296" s="36"/>
      <c r="L296" s="36"/>
      <c r="M296" s="36"/>
      <c r="N296" s="13"/>
      <c r="O296" s="202"/>
      <c r="P296" s="36"/>
      <c r="Q296" s="52"/>
      <c r="R296" s="52"/>
      <c r="S296" s="52"/>
      <c r="U296" s="202"/>
      <c r="V296" s="202"/>
      <c r="W296" s="202"/>
      <c r="X296" s="202"/>
      <c r="Y296" s="13"/>
      <c r="Z296" s="36"/>
      <c r="AA296" s="13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289"/>
      <c r="AO296" s="289"/>
      <c r="AP296" s="289"/>
      <c r="AQ296" s="36"/>
      <c r="AR296" s="283"/>
      <c r="AS296" s="13"/>
      <c r="AT296" s="13"/>
      <c r="AU296" s="32"/>
      <c r="AV296" s="277"/>
      <c r="AW296" s="277"/>
      <c r="AX296" s="277"/>
      <c r="AY296" s="280"/>
      <c r="AZ296" s="268"/>
      <c r="BA296" s="268"/>
      <c r="BB296" s="13"/>
      <c r="BC296" s="36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</row>
    <row r="297" spans="1:73">
      <c r="A297" s="13"/>
      <c r="B297" s="13"/>
      <c r="C297" s="13"/>
      <c r="D297" s="13"/>
      <c r="E297" s="13"/>
      <c r="F297" s="13"/>
      <c r="G297" s="36"/>
      <c r="H297" s="36"/>
      <c r="I297" s="36"/>
      <c r="J297" s="36"/>
      <c r="K297" s="36"/>
      <c r="L297" s="36"/>
      <c r="M297" s="36"/>
      <c r="N297" s="13"/>
      <c r="O297" s="202"/>
      <c r="P297" s="36"/>
      <c r="Q297" s="52"/>
      <c r="R297" s="52"/>
      <c r="S297" s="52"/>
      <c r="U297" s="202"/>
      <c r="V297" s="202"/>
      <c r="W297" s="202"/>
      <c r="X297" s="202"/>
      <c r="Y297" s="13"/>
      <c r="Z297" s="36"/>
      <c r="AA297" s="13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289"/>
      <c r="AO297" s="289"/>
      <c r="AP297" s="289"/>
      <c r="AQ297" s="36"/>
      <c r="AR297" s="283"/>
      <c r="AS297" s="13"/>
      <c r="AT297" s="13"/>
      <c r="AU297" s="32"/>
      <c r="AV297" s="277"/>
      <c r="AW297" s="277"/>
      <c r="AX297" s="277"/>
      <c r="AY297" s="280"/>
      <c r="AZ297" s="268"/>
      <c r="BA297" s="268"/>
      <c r="BB297" s="13"/>
      <c r="BC297" s="36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</row>
    <row r="298" spans="1:73">
      <c r="A298" s="13"/>
      <c r="B298" s="13"/>
      <c r="C298" s="13"/>
      <c r="D298" s="13"/>
      <c r="E298" s="13"/>
      <c r="F298" s="13"/>
      <c r="G298" s="36"/>
      <c r="H298" s="36"/>
      <c r="I298" s="36"/>
      <c r="J298" s="36"/>
      <c r="K298" s="36"/>
      <c r="L298" s="36"/>
      <c r="M298" s="36"/>
      <c r="N298" s="13"/>
      <c r="O298" s="202"/>
      <c r="P298" s="36"/>
      <c r="Q298" s="52"/>
      <c r="R298" s="52"/>
      <c r="S298" s="52"/>
      <c r="U298" s="202"/>
      <c r="V298" s="202"/>
      <c r="W298" s="202"/>
      <c r="X298" s="202"/>
      <c r="Y298" s="13"/>
      <c r="Z298" s="36"/>
      <c r="AA298" s="13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289"/>
      <c r="AO298" s="289"/>
      <c r="AP298" s="289"/>
      <c r="AQ298" s="36"/>
      <c r="AR298" s="283"/>
      <c r="AS298" s="13"/>
      <c r="AT298" s="13"/>
      <c r="AU298" s="32"/>
      <c r="AV298" s="277"/>
      <c r="AW298" s="277"/>
      <c r="AX298" s="277"/>
      <c r="AY298" s="280"/>
      <c r="AZ298" s="268"/>
      <c r="BA298" s="268"/>
      <c r="BB298" s="13"/>
      <c r="BC298" s="36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</row>
    <row r="299" spans="1:73">
      <c r="A299" s="13"/>
      <c r="B299" s="13"/>
      <c r="C299" s="13"/>
      <c r="D299" s="13"/>
      <c r="E299" s="13"/>
      <c r="F299" s="13"/>
      <c r="G299" s="36"/>
      <c r="H299" s="36"/>
      <c r="I299" s="36"/>
      <c r="J299" s="36"/>
      <c r="K299" s="36"/>
      <c r="L299" s="36"/>
      <c r="M299" s="36"/>
      <c r="N299" s="13"/>
      <c r="O299" s="202"/>
      <c r="P299" s="36"/>
      <c r="Q299" s="52"/>
      <c r="R299" s="52"/>
      <c r="S299" s="52"/>
      <c r="U299" s="202"/>
      <c r="V299" s="202"/>
      <c r="W299" s="202"/>
      <c r="X299" s="202"/>
      <c r="Y299" s="13"/>
      <c r="Z299" s="36"/>
      <c r="AA299" s="13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289"/>
      <c r="AO299" s="289"/>
      <c r="AP299" s="289"/>
      <c r="AQ299" s="36"/>
      <c r="AR299" s="283"/>
      <c r="AS299" s="13"/>
      <c r="AT299" s="13"/>
      <c r="AU299" s="32"/>
      <c r="AV299" s="277"/>
      <c r="AW299" s="277"/>
      <c r="AX299" s="277"/>
      <c r="AY299" s="280"/>
      <c r="AZ299" s="268"/>
      <c r="BA299" s="268"/>
      <c r="BB299" s="13"/>
      <c r="BC299" s="36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</row>
    <row r="300" spans="1:73">
      <c r="A300" s="13"/>
      <c r="B300" s="13"/>
      <c r="C300" s="13"/>
      <c r="D300" s="13"/>
      <c r="E300" s="13"/>
      <c r="F300" s="13"/>
      <c r="G300" s="36"/>
      <c r="H300" s="36"/>
      <c r="I300" s="36"/>
      <c r="J300" s="36"/>
      <c r="K300" s="36"/>
      <c r="L300" s="36"/>
      <c r="M300" s="36"/>
      <c r="N300" s="13"/>
      <c r="O300" s="202"/>
      <c r="P300" s="36"/>
      <c r="Q300" s="52"/>
      <c r="R300" s="52"/>
      <c r="S300" s="52"/>
      <c r="U300" s="202"/>
      <c r="V300" s="202"/>
      <c r="W300" s="202"/>
      <c r="X300" s="202"/>
      <c r="Y300" s="13"/>
      <c r="Z300" s="36"/>
      <c r="AA300" s="13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289"/>
      <c r="AO300" s="289"/>
      <c r="AP300" s="289"/>
      <c r="AQ300" s="36"/>
      <c r="AR300" s="283"/>
      <c r="AS300" s="13"/>
      <c r="AT300" s="13"/>
      <c r="AU300" s="32"/>
      <c r="AV300" s="277"/>
      <c r="AW300" s="277"/>
      <c r="AX300" s="277"/>
      <c r="AY300" s="280"/>
      <c r="AZ300" s="268"/>
      <c r="BA300" s="268"/>
      <c r="BB300" s="13"/>
      <c r="BC300" s="36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</row>
    <row r="301" spans="1:73">
      <c r="A301" s="13"/>
      <c r="B301" s="13"/>
      <c r="C301" s="13"/>
      <c r="D301" s="13"/>
      <c r="E301" s="13"/>
      <c r="F301" s="13"/>
      <c r="G301" s="36"/>
      <c r="H301" s="36"/>
      <c r="I301" s="36"/>
      <c r="J301" s="36"/>
      <c r="K301" s="36"/>
      <c r="L301" s="36"/>
      <c r="M301" s="36"/>
      <c r="N301" s="13"/>
      <c r="O301" s="202"/>
      <c r="P301" s="36"/>
      <c r="Q301" s="52"/>
      <c r="R301" s="52"/>
      <c r="S301" s="52"/>
      <c r="U301" s="202"/>
      <c r="V301" s="202"/>
      <c r="W301" s="202"/>
      <c r="X301" s="202"/>
      <c r="Y301" s="13"/>
      <c r="Z301" s="36"/>
      <c r="AA301" s="13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289"/>
      <c r="AO301" s="289"/>
      <c r="AP301" s="289"/>
      <c r="AQ301" s="36"/>
      <c r="AR301" s="283"/>
      <c r="AS301" s="13"/>
      <c r="AT301" s="13"/>
      <c r="AU301" s="32"/>
      <c r="AV301" s="277"/>
      <c r="AW301" s="277"/>
      <c r="AX301" s="277"/>
      <c r="AY301" s="280"/>
      <c r="AZ301" s="268"/>
      <c r="BA301" s="268"/>
      <c r="BB301" s="13"/>
      <c r="BC301" s="36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</row>
    <row r="302" spans="1:73">
      <c r="A302" s="13"/>
      <c r="B302" s="13"/>
      <c r="C302" s="13"/>
      <c r="D302" s="13"/>
      <c r="E302" s="13"/>
      <c r="F302" s="13"/>
      <c r="G302" s="36"/>
      <c r="H302" s="36"/>
      <c r="I302" s="36"/>
      <c r="J302" s="36"/>
      <c r="K302" s="36"/>
      <c r="L302" s="36"/>
      <c r="M302" s="36"/>
      <c r="N302" s="13"/>
      <c r="O302" s="202"/>
      <c r="P302" s="36"/>
      <c r="Q302" s="52"/>
      <c r="R302" s="52"/>
      <c r="S302" s="52"/>
      <c r="U302" s="202"/>
      <c r="V302" s="202"/>
      <c r="W302" s="202"/>
      <c r="X302" s="202"/>
      <c r="Y302" s="13"/>
      <c r="Z302" s="36"/>
      <c r="AA302" s="13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289"/>
      <c r="AO302" s="289"/>
      <c r="AP302" s="289"/>
      <c r="AQ302" s="36"/>
      <c r="AR302" s="283"/>
      <c r="AS302" s="13"/>
      <c r="AT302" s="13"/>
      <c r="AU302" s="32"/>
      <c r="AV302" s="277"/>
      <c r="AW302" s="277"/>
      <c r="AX302" s="277"/>
      <c r="AY302" s="280"/>
      <c r="AZ302" s="268"/>
      <c r="BA302" s="268"/>
      <c r="BB302" s="13"/>
      <c r="BC302" s="36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</row>
    <row r="303" spans="1:73">
      <c r="A303" s="13"/>
      <c r="B303" s="13"/>
      <c r="C303" s="13"/>
      <c r="D303" s="13"/>
      <c r="E303" s="13"/>
      <c r="F303" s="13"/>
      <c r="G303" s="36"/>
      <c r="H303" s="36"/>
      <c r="I303" s="36"/>
      <c r="J303" s="36"/>
      <c r="K303" s="36"/>
      <c r="L303" s="36"/>
      <c r="M303" s="36"/>
      <c r="N303" s="13"/>
      <c r="O303" s="202"/>
      <c r="P303" s="36"/>
      <c r="Q303" s="52"/>
      <c r="R303" s="52"/>
      <c r="S303" s="52"/>
      <c r="U303" s="202"/>
      <c r="V303" s="202"/>
      <c r="W303" s="202"/>
      <c r="X303" s="202"/>
      <c r="Y303" s="13"/>
      <c r="Z303" s="36"/>
      <c r="AA303" s="13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289"/>
      <c r="AO303" s="289"/>
      <c r="AP303" s="289"/>
      <c r="AQ303" s="36"/>
      <c r="AR303" s="283"/>
      <c r="AS303" s="13"/>
      <c r="AT303" s="13"/>
      <c r="AU303" s="32"/>
      <c r="AV303" s="277"/>
      <c r="AW303" s="277"/>
      <c r="AX303" s="277"/>
      <c r="AY303" s="280"/>
      <c r="AZ303" s="268"/>
      <c r="BA303" s="268"/>
      <c r="BB303" s="13"/>
      <c r="BC303" s="36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</row>
    <row r="304" spans="1:73">
      <c r="A304" s="13"/>
      <c r="B304" s="13"/>
      <c r="C304" s="13"/>
      <c r="D304" s="13"/>
      <c r="E304" s="13"/>
      <c r="F304" s="13"/>
      <c r="G304" s="36"/>
      <c r="H304" s="36"/>
      <c r="I304" s="36"/>
      <c r="J304" s="36"/>
      <c r="K304" s="36"/>
      <c r="L304" s="36"/>
      <c r="M304" s="36"/>
      <c r="N304" s="13"/>
      <c r="O304" s="202"/>
      <c r="P304" s="36"/>
      <c r="Q304" s="52"/>
      <c r="R304" s="52"/>
      <c r="S304" s="52"/>
      <c r="U304" s="202"/>
      <c r="V304" s="202"/>
      <c r="W304" s="202"/>
      <c r="X304" s="202"/>
      <c r="Y304" s="13"/>
      <c r="Z304" s="36"/>
      <c r="AA304" s="13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289"/>
      <c r="AO304" s="289"/>
      <c r="AP304" s="289"/>
      <c r="AQ304" s="36"/>
      <c r="AR304" s="283"/>
      <c r="AS304" s="13"/>
      <c r="AT304" s="13"/>
      <c r="AU304" s="32"/>
      <c r="AV304" s="277"/>
      <c r="AW304" s="277"/>
      <c r="AX304" s="277"/>
      <c r="AY304" s="280"/>
      <c r="AZ304" s="268"/>
      <c r="BA304" s="268"/>
      <c r="BB304" s="13"/>
      <c r="BC304" s="36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</row>
    <row r="305" spans="1:73">
      <c r="A305" s="13"/>
      <c r="B305" s="13"/>
      <c r="C305" s="13"/>
      <c r="D305" s="13"/>
      <c r="E305" s="13"/>
      <c r="F305" s="13"/>
      <c r="G305" s="36"/>
      <c r="H305" s="36"/>
      <c r="I305" s="36"/>
      <c r="J305" s="36"/>
      <c r="K305" s="36"/>
      <c r="L305" s="36"/>
      <c r="M305" s="36"/>
      <c r="N305" s="13"/>
      <c r="O305" s="202"/>
      <c r="P305" s="36"/>
      <c r="Q305" s="52"/>
      <c r="R305" s="52"/>
      <c r="S305" s="52"/>
      <c r="U305" s="202"/>
      <c r="V305" s="202"/>
      <c r="W305" s="202"/>
      <c r="X305" s="202"/>
      <c r="Y305" s="13"/>
      <c r="Z305" s="36"/>
      <c r="AA305" s="13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289"/>
      <c r="AO305" s="289"/>
      <c r="AP305" s="289"/>
      <c r="AQ305" s="36"/>
      <c r="AR305" s="283"/>
      <c r="AS305" s="13"/>
      <c r="AT305" s="13"/>
      <c r="AU305" s="32"/>
      <c r="AV305" s="277"/>
      <c r="AW305" s="277"/>
      <c r="AX305" s="277"/>
      <c r="AY305" s="280"/>
      <c r="AZ305" s="268"/>
      <c r="BA305" s="268"/>
      <c r="BB305" s="13"/>
      <c r="BC305" s="36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</row>
    <row r="306" spans="1:73">
      <c r="A306" s="13"/>
      <c r="B306" s="13"/>
      <c r="C306" s="13"/>
      <c r="D306" s="13"/>
      <c r="E306" s="13"/>
      <c r="F306" s="13"/>
      <c r="G306" s="36"/>
      <c r="H306" s="36"/>
      <c r="I306" s="36"/>
      <c r="J306" s="36"/>
      <c r="K306" s="36"/>
      <c r="L306" s="36"/>
      <c r="M306" s="36"/>
      <c r="N306" s="13"/>
      <c r="O306" s="202"/>
      <c r="P306" s="36"/>
      <c r="Q306" s="52"/>
      <c r="R306" s="52"/>
      <c r="S306" s="52"/>
      <c r="U306" s="202"/>
      <c r="V306" s="202"/>
      <c r="W306" s="202"/>
      <c r="X306" s="202"/>
      <c r="Y306" s="13"/>
      <c r="Z306" s="36"/>
      <c r="AA306" s="13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289"/>
      <c r="AO306" s="289"/>
      <c r="AP306" s="289"/>
      <c r="AQ306" s="36"/>
      <c r="AR306" s="283"/>
      <c r="AS306" s="13"/>
      <c r="AT306" s="13"/>
      <c r="AU306" s="32"/>
      <c r="AV306" s="277"/>
      <c r="AW306" s="277"/>
      <c r="AX306" s="277"/>
      <c r="AY306" s="280"/>
      <c r="AZ306" s="268"/>
      <c r="BA306" s="268"/>
      <c r="BB306" s="13"/>
      <c r="BC306" s="36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</row>
    <row r="307" spans="1:73">
      <c r="A307" s="13"/>
      <c r="B307" s="13"/>
      <c r="C307" s="13"/>
      <c r="D307" s="13"/>
      <c r="E307" s="13"/>
      <c r="F307" s="13"/>
      <c r="G307" s="36"/>
      <c r="H307" s="36"/>
      <c r="I307" s="36"/>
      <c r="J307" s="36"/>
      <c r="K307" s="36"/>
      <c r="L307" s="36"/>
      <c r="M307" s="36"/>
      <c r="N307" s="13"/>
      <c r="O307" s="202"/>
      <c r="P307" s="36"/>
      <c r="Q307" s="52"/>
      <c r="R307" s="52"/>
      <c r="S307" s="52"/>
      <c r="U307" s="202"/>
      <c r="V307" s="202"/>
      <c r="W307" s="202"/>
      <c r="X307" s="202"/>
      <c r="Y307" s="13"/>
      <c r="Z307" s="36"/>
      <c r="AA307" s="13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289"/>
      <c r="AO307" s="289"/>
      <c r="AP307" s="289"/>
      <c r="AQ307" s="36"/>
      <c r="AR307" s="283"/>
      <c r="AS307" s="13"/>
      <c r="AT307" s="13"/>
      <c r="AU307" s="32"/>
      <c r="AV307" s="277"/>
      <c r="AW307" s="277"/>
      <c r="AX307" s="277"/>
      <c r="AY307" s="280"/>
      <c r="AZ307" s="268"/>
      <c r="BA307" s="268"/>
      <c r="BB307" s="13"/>
      <c r="BC307" s="36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</row>
    <row r="308" spans="1:73">
      <c r="A308" s="13"/>
      <c r="B308" s="13"/>
      <c r="C308" s="13"/>
      <c r="D308" s="13"/>
      <c r="E308" s="13"/>
      <c r="F308" s="13"/>
      <c r="G308" s="36"/>
      <c r="H308" s="36"/>
      <c r="I308" s="36"/>
      <c r="J308" s="36"/>
      <c r="K308" s="36"/>
      <c r="L308" s="36"/>
      <c r="M308" s="36"/>
      <c r="N308" s="13"/>
      <c r="O308" s="202"/>
      <c r="P308" s="36"/>
      <c r="Q308" s="52"/>
      <c r="R308" s="52"/>
      <c r="S308" s="52"/>
      <c r="U308" s="202"/>
      <c r="V308" s="202"/>
      <c r="W308" s="202"/>
      <c r="X308" s="202"/>
      <c r="Y308" s="13"/>
      <c r="Z308" s="36"/>
      <c r="AA308" s="13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289"/>
      <c r="AO308" s="289"/>
      <c r="AP308" s="289"/>
      <c r="AQ308" s="36"/>
      <c r="AR308" s="283"/>
      <c r="AS308" s="13"/>
      <c r="AT308" s="13"/>
      <c r="AU308" s="32"/>
      <c r="AV308" s="277"/>
      <c r="AW308" s="277"/>
      <c r="AX308" s="277"/>
      <c r="AY308" s="280"/>
      <c r="AZ308" s="268"/>
      <c r="BA308" s="268"/>
      <c r="BB308" s="13"/>
      <c r="BC308" s="36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</row>
    <row r="309" spans="1:73">
      <c r="A309" s="13"/>
      <c r="B309" s="13"/>
      <c r="C309" s="13"/>
      <c r="D309" s="13"/>
      <c r="E309" s="13"/>
      <c r="F309" s="13"/>
      <c r="G309" s="36"/>
      <c r="H309" s="36"/>
      <c r="I309" s="36"/>
      <c r="J309" s="36"/>
      <c r="K309" s="36"/>
      <c r="L309" s="36"/>
      <c r="M309" s="36"/>
      <c r="N309" s="13"/>
      <c r="O309" s="202"/>
      <c r="P309" s="36"/>
      <c r="Q309" s="52"/>
      <c r="R309" s="52"/>
      <c r="S309" s="52"/>
      <c r="U309" s="202"/>
      <c r="V309" s="202"/>
      <c r="W309" s="202"/>
      <c r="X309" s="202"/>
      <c r="Y309" s="13"/>
      <c r="Z309" s="36"/>
      <c r="AA309" s="13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289"/>
      <c r="AO309" s="289"/>
      <c r="AP309" s="289"/>
      <c r="AQ309" s="36"/>
      <c r="AR309" s="283"/>
      <c r="AS309" s="13"/>
      <c r="AT309" s="13"/>
      <c r="AU309" s="32"/>
      <c r="AV309" s="277"/>
      <c r="AW309" s="277"/>
      <c r="AX309" s="277"/>
      <c r="AY309" s="280"/>
      <c r="AZ309" s="268"/>
      <c r="BA309" s="268"/>
      <c r="BB309" s="13"/>
      <c r="BC309" s="36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</row>
    <row r="310" spans="1:73">
      <c r="A310" s="13"/>
      <c r="B310" s="13"/>
      <c r="C310" s="13"/>
      <c r="D310" s="13"/>
      <c r="E310" s="13"/>
      <c r="F310" s="13"/>
      <c r="G310" s="36"/>
      <c r="H310" s="36"/>
      <c r="I310" s="36"/>
      <c r="J310" s="36"/>
      <c r="K310" s="36"/>
      <c r="L310" s="36"/>
      <c r="M310" s="36"/>
      <c r="N310" s="13"/>
      <c r="O310" s="202"/>
      <c r="P310" s="36"/>
      <c r="Q310" s="52"/>
      <c r="R310" s="52"/>
      <c r="S310" s="52"/>
      <c r="U310" s="202"/>
      <c r="V310" s="202"/>
      <c r="W310" s="202"/>
      <c r="X310" s="202"/>
      <c r="Y310" s="13"/>
      <c r="Z310" s="36"/>
      <c r="AA310" s="13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289"/>
      <c r="AO310" s="289"/>
      <c r="AP310" s="289"/>
      <c r="AQ310" s="36"/>
      <c r="AR310" s="283"/>
      <c r="AS310" s="13"/>
      <c r="AT310" s="13"/>
      <c r="AU310" s="32"/>
      <c r="AV310" s="277"/>
      <c r="AW310" s="277"/>
      <c r="AX310" s="277"/>
      <c r="AY310" s="280"/>
      <c r="AZ310" s="268"/>
      <c r="BA310" s="268"/>
      <c r="BB310" s="13"/>
      <c r="BC310" s="36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</row>
    <row r="311" spans="1:73">
      <c r="A311" s="13"/>
      <c r="B311" s="13"/>
      <c r="C311" s="13"/>
      <c r="D311" s="13"/>
      <c r="E311" s="13"/>
      <c r="F311" s="13"/>
      <c r="G311" s="36"/>
      <c r="H311" s="36"/>
      <c r="I311" s="36"/>
      <c r="J311" s="36"/>
      <c r="K311" s="36"/>
      <c r="L311" s="36"/>
      <c r="M311" s="36"/>
      <c r="N311" s="13"/>
      <c r="O311" s="202"/>
      <c r="P311" s="36"/>
      <c r="Q311" s="52"/>
      <c r="R311" s="52"/>
      <c r="S311" s="52"/>
      <c r="U311" s="202"/>
      <c r="V311" s="202"/>
      <c r="W311" s="202"/>
      <c r="X311" s="202"/>
      <c r="Y311" s="13"/>
      <c r="Z311" s="36"/>
      <c r="AA311" s="13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289"/>
      <c r="AO311" s="289"/>
      <c r="AP311" s="289"/>
      <c r="AQ311" s="36"/>
      <c r="AR311" s="283"/>
      <c r="AS311" s="13"/>
      <c r="AT311" s="13"/>
      <c r="AU311" s="32"/>
      <c r="AV311" s="277"/>
      <c r="AW311" s="277"/>
      <c r="AX311" s="277"/>
      <c r="AY311" s="280"/>
      <c r="AZ311" s="268"/>
      <c r="BA311" s="268"/>
      <c r="BB311" s="13"/>
      <c r="BC311" s="36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</row>
    <row r="312" spans="1:73">
      <c r="A312" s="13"/>
      <c r="B312" s="13"/>
      <c r="C312" s="13"/>
      <c r="D312" s="13"/>
      <c r="E312" s="13"/>
      <c r="F312" s="13"/>
      <c r="G312" s="36"/>
      <c r="H312" s="36"/>
      <c r="I312" s="36"/>
      <c r="J312" s="36"/>
      <c r="K312" s="36"/>
      <c r="L312" s="36"/>
      <c r="M312" s="36"/>
      <c r="N312" s="13"/>
      <c r="O312" s="202"/>
      <c r="P312" s="36"/>
      <c r="Q312" s="52"/>
      <c r="R312" s="52"/>
      <c r="S312" s="52"/>
      <c r="U312" s="202"/>
      <c r="V312" s="202"/>
      <c r="W312" s="202"/>
      <c r="X312" s="202"/>
      <c r="Y312" s="13"/>
      <c r="Z312" s="36"/>
      <c r="AA312" s="13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289"/>
      <c r="AO312" s="289"/>
      <c r="AP312" s="289"/>
      <c r="AQ312" s="36"/>
      <c r="AR312" s="283"/>
      <c r="AS312" s="13"/>
      <c r="AT312" s="13"/>
      <c r="AU312" s="32"/>
      <c r="AV312" s="277"/>
      <c r="AW312" s="277"/>
      <c r="AX312" s="277"/>
      <c r="AY312" s="280"/>
      <c r="AZ312" s="268"/>
      <c r="BA312" s="268"/>
      <c r="BB312" s="13"/>
      <c r="BC312" s="36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</row>
    <row r="313" spans="1:73">
      <c r="A313" s="13"/>
      <c r="B313" s="13"/>
      <c r="C313" s="13"/>
      <c r="D313" s="13"/>
      <c r="E313" s="13"/>
      <c r="F313" s="13"/>
      <c r="G313" s="36"/>
      <c r="H313" s="36"/>
      <c r="I313" s="36"/>
      <c r="J313" s="36"/>
      <c r="K313" s="36"/>
      <c r="L313" s="36"/>
      <c r="M313" s="36"/>
      <c r="N313" s="13"/>
      <c r="O313" s="202"/>
      <c r="P313" s="36"/>
      <c r="Q313" s="52"/>
      <c r="R313" s="52"/>
      <c r="S313" s="52"/>
      <c r="U313" s="202"/>
      <c r="V313" s="202"/>
      <c r="W313" s="202"/>
      <c r="X313" s="202"/>
      <c r="Y313" s="13"/>
      <c r="Z313" s="36"/>
      <c r="AA313" s="13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289"/>
      <c r="AO313" s="289"/>
      <c r="AP313" s="289"/>
      <c r="AQ313" s="36"/>
      <c r="AR313" s="283"/>
      <c r="AS313" s="13"/>
      <c r="AT313" s="13"/>
      <c r="AU313" s="32"/>
      <c r="AV313" s="277"/>
      <c r="AW313" s="277"/>
      <c r="AX313" s="277"/>
      <c r="AY313" s="280"/>
      <c r="AZ313" s="268"/>
      <c r="BA313" s="268"/>
      <c r="BB313" s="13"/>
      <c r="BC313" s="36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</row>
    <row r="314" spans="1:73">
      <c r="A314" s="13"/>
      <c r="B314" s="13"/>
      <c r="C314" s="13"/>
      <c r="D314" s="13"/>
      <c r="E314" s="13"/>
      <c r="F314" s="13"/>
      <c r="G314" s="36"/>
      <c r="H314" s="36"/>
      <c r="I314" s="36"/>
      <c r="J314" s="36"/>
      <c r="K314" s="36"/>
      <c r="L314" s="36"/>
      <c r="M314" s="36"/>
      <c r="N314" s="13"/>
      <c r="O314" s="202"/>
      <c r="P314" s="36"/>
      <c r="Q314" s="52"/>
      <c r="R314" s="52"/>
      <c r="S314" s="52"/>
      <c r="U314" s="202"/>
      <c r="V314" s="202"/>
      <c r="W314" s="202"/>
      <c r="X314" s="202"/>
      <c r="Y314" s="13"/>
      <c r="Z314" s="36"/>
      <c r="AA314" s="13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289"/>
      <c r="AO314" s="289"/>
      <c r="AP314" s="289"/>
      <c r="AQ314" s="36"/>
      <c r="AR314" s="283"/>
      <c r="AS314" s="13"/>
      <c r="AT314" s="13"/>
      <c r="AU314" s="32"/>
      <c r="AV314" s="277"/>
      <c r="AW314" s="277"/>
      <c r="AX314" s="277"/>
      <c r="AY314" s="280"/>
      <c r="AZ314" s="268"/>
      <c r="BA314" s="268"/>
      <c r="BB314" s="13"/>
      <c r="BC314" s="36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</row>
    <row r="315" spans="1:73">
      <c r="A315" s="13"/>
      <c r="B315" s="13"/>
      <c r="C315" s="13"/>
      <c r="D315" s="13"/>
      <c r="E315" s="13"/>
      <c r="F315" s="13"/>
      <c r="G315" s="36"/>
      <c r="H315" s="36"/>
      <c r="I315" s="36"/>
      <c r="J315" s="36"/>
      <c r="K315" s="36"/>
      <c r="L315" s="36"/>
      <c r="M315" s="36"/>
      <c r="N315" s="13"/>
      <c r="O315" s="202"/>
      <c r="P315" s="36"/>
      <c r="Q315" s="52"/>
      <c r="R315" s="52"/>
      <c r="S315" s="52"/>
      <c r="U315" s="202"/>
      <c r="V315" s="202"/>
      <c r="W315" s="202"/>
      <c r="X315" s="202"/>
      <c r="Y315" s="13"/>
      <c r="Z315" s="36"/>
      <c r="AA315" s="13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289"/>
      <c r="AO315" s="289"/>
      <c r="AP315" s="289"/>
      <c r="AQ315" s="36"/>
      <c r="AR315" s="283"/>
      <c r="AS315" s="13"/>
      <c r="AT315" s="13"/>
      <c r="AU315" s="32"/>
      <c r="AV315" s="277"/>
      <c r="AW315" s="277"/>
      <c r="AX315" s="277"/>
      <c r="AY315" s="280"/>
      <c r="AZ315" s="268"/>
      <c r="BA315" s="268"/>
      <c r="BB315" s="13"/>
      <c r="BC315" s="36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</row>
    <row r="316" spans="1:73">
      <c r="A316" s="13"/>
      <c r="B316" s="13"/>
      <c r="C316" s="13"/>
      <c r="D316" s="13"/>
      <c r="E316" s="13"/>
      <c r="F316" s="13"/>
      <c r="G316" s="36"/>
      <c r="H316" s="36"/>
      <c r="I316" s="36"/>
      <c r="J316" s="36"/>
      <c r="K316" s="36"/>
      <c r="L316" s="36"/>
      <c r="M316" s="36"/>
      <c r="N316" s="13"/>
      <c r="O316" s="202"/>
      <c r="P316" s="36"/>
      <c r="Q316" s="52"/>
      <c r="R316" s="52"/>
      <c r="S316" s="52"/>
      <c r="U316" s="202"/>
      <c r="V316" s="202"/>
      <c r="W316" s="202"/>
      <c r="X316" s="202"/>
      <c r="Y316" s="13"/>
      <c r="Z316" s="36"/>
      <c r="AA316" s="13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289"/>
      <c r="AO316" s="289"/>
      <c r="AP316" s="289"/>
      <c r="AQ316" s="36"/>
      <c r="AR316" s="283"/>
      <c r="AS316" s="13"/>
      <c r="AT316" s="13"/>
      <c r="AU316" s="32"/>
      <c r="AV316" s="277"/>
      <c r="AW316" s="277"/>
      <c r="AX316" s="277"/>
      <c r="AY316" s="280"/>
      <c r="AZ316" s="268"/>
      <c r="BA316" s="268"/>
      <c r="BB316" s="13"/>
      <c r="BC316" s="36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</row>
    <row r="317" spans="1:73">
      <c r="A317" s="13"/>
      <c r="B317" s="13"/>
      <c r="C317" s="13"/>
      <c r="D317" s="13"/>
      <c r="E317" s="13"/>
      <c r="F317" s="13"/>
      <c r="G317" s="36"/>
      <c r="H317" s="36"/>
      <c r="I317" s="36"/>
      <c r="J317" s="36"/>
      <c r="K317" s="36"/>
      <c r="L317" s="36"/>
      <c r="M317" s="36"/>
      <c r="N317" s="13"/>
      <c r="O317" s="202"/>
      <c r="P317" s="36"/>
      <c r="Q317" s="52"/>
      <c r="R317" s="52"/>
      <c r="S317" s="52"/>
      <c r="U317" s="202"/>
      <c r="V317" s="202"/>
      <c r="W317" s="202"/>
      <c r="X317" s="202"/>
      <c r="Y317" s="13"/>
      <c r="Z317" s="36"/>
      <c r="AA317" s="13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289"/>
      <c r="AO317" s="289"/>
      <c r="AP317" s="289"/>
      <c r="AQ317" s="36"/>
      <c r="AR317" s="283"/>
      <c r="AS317" s="13"/>
      <c r="AT317" s="13"/>
      <c r="AU317" s="32"/>
      <c r="AV317" s="277"/>
      <c r="AW317" s="277"/>
      <c r="AX317" s="277"/>
      <c r="AY317" s="280"/>
      <c r="AZ317" s="268"/>
      <c r="BA317" s="268"/>
      <c r="BB317" s="13"/>
      <c r="BC317" s="36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</row>
    <row r="318" spans="1:73">
      <c r="A318" s="13"/>
      <c r="B318" s="13"/>
      <c r="C318" s="13"/>
      <c r="D318" s="13"/>
      <c r="E318" s="13"/>
      <c r="F318" s="13"/>
      <c r="G318" s="36"/>
      <c r="H318" s="36"/>
      <c r="I318" s="36"/>
      <c r="J318" s="36"/>
      <c r="K318" s="36"/>
      <c r="L318" s="36"/>
      <c r="M318" s="36"/>
      <c r="N318" s="13"/>
      <c r="O318" s="202"/>
      <c r="P318" s="36"/>
      <c r="Q318" s="52"/>
      <c r="R318" s="52"/>
      <c r="S318" s="52"/>
      <c r="U318" s="202"/>
      <c r="V318" s="202"/>
      <c r="W318" s="202"/>
      <c r="X318" s="202"/>
      <c r="Y318" s="13"/>
      <c r="Z318" s="36"/>
      <c r="AA318" s="13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289"/>
      <c r="AO318" s="289"/>
      <c r="AP318" s="289"/>
      <c r="AQ318" s="36"/>
      <c r="AR318" s="283"/>
      <c r="AS318" s="13"/>
      <c r="AT318" s="13"/>
      <c r="AU318" s="32"/>
      <c r="AV318" s="277"/>
      <c r="AW318" s="277"/>
      <c r="AX318" s="277"/>
      <c r="AY318" s="280"/>
      <c r="AZ318" s="268"/>
      <c r="BA318" s="268"/>
      <c r="BB318" s="13"/>
      <c r="BC318" s="36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</row>
    <row r="319" spans="1:73">
      <c r="A319" s="13"/>
      <c r="B319" s="13"/>
      <c r="C319" s="13"/>
      <c r="D319" s="13"/>
      <c r="E319" s="13"/>
      <c r="F319" s="13"/>
      <c r="G319" s="36"/>
      <c r="H319" s="36"/>
      <c r="I319" s="36"/>
      <c r="J319" s="36"/>
      <c r="K319" s="36"/>
      <c r="L319" s="36"/>
      <c r="M319" s="36"/>
      <c r="N319" s="13"/>
      <c r="O319" s="202"/>
      <c r="P319" s="36"/>
      <c r="Q319" s="52"/>
      <c r="R319" s="52"/>
      <c r="S319" s="52"/>
      <c r="U319" s="202"/>
      <c r="V319" s="202"/>
      <c r="W319" s="202"/>
      <c r="X319" s="202"/>
      <c r="Y319" s="13"/>
      <c r="Z319" s="36"/>
      <c r="AA319" s="13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289"/>
      <c r="AO319" s="289"/>
      <c r="AP319" s="289"/>
      <c r="AQ319" s="36"/>
      <c r="AR319" s="283"/>
      <c r="AS319" s="13"/>
      <c r="AT319" s="13"/>
      <c r="AU319" s="32"/>
      <c r="AV319" s="277"/>
      <c r="AW319" s="277"/>
      <c r="AX319" s="277"/>
      <c r="AY319" s="280"/>
      <c r="AZ319" s="268"/>
      <c r="BA319" s="268"/>
      <c r="BB319" s="13"/>
      <c r="BC319" s="36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</row>
    <row r="320" spans="1:73">
      <c r="A320" s="13"/>
      <c r="B320" s="13"/>
      <c r="C320" s="13"/>
      <c r="D320" s="13"/>
      <c r="E320" s="13"/>
      <c r="F320" s="13"/>
      <c r="G320" s="36"/>
      <c r="H320" s="36"/>
      <c r="I320" s="36"/>
      <c r="J320" s="36"/>
      <c r="K320" s="36"/>
      <c r="L320" s="36"/>
      <c r="M320" s="36"/>
      <c r="N320" s="13"/>
      <c r="O320" s="202"/>
      <c r="P320" s="36"/>
      <c r="Q320" s="52"/>
      <c r="R320" s="52"/>
      <c r="S320" s="52"/>
      <c r="U320" s="202"/>
      <c r="V320" s="202"/>
      <c r="W320" s="202"/>
      <c r="X320" s="202"/>
      <c r="Y320" s="13"/>
      <c r="Z320" s="36"/>
      <c r="AA320" s="13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289"/>
      <c r="AO320" s="289"/>
      <c r="AP320" s="289"/>
      <c r="AQ320" s="36"/>
      <c r="AR320" s="283"/>
      <c r="AS320" s="13"/>
      <c r="AT320" s="13"/>
      <c r="AU320" s="32"/>
      <c r="AV320" s="277"/>
      <c r="AW320" s="277"/>
      <c r="AX320" s="277"/>
      <c r="AY320" s="280"/>
      <c r="AZ320" s="268"/>
      <c r="BA320" s="268"/>
      <c r="BB320" s="13"/>
      <c r="BC320" s="36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</row>
    <row r="321" spans="1:73">
      <c r="A321" s="13"/>
      <c r="B321" s="13"/>
      <c r="C321" s="13"/>
      <c r="D321" s="13"/>
      <c r="E321" s="13"/>
      <c r="F321" s="13"/>
      <c r="G321" s="36"/>
      <c r="H321" s="36"/>
      <c r="I321" s="36"/>
      <c r="J321" s="36"/>
      <c r="K321" s="36"/>
      <c r="L321" s="36"/>
      <c r="M321" s="36"/>
      <c r="N321" s="13"/>
      <c r="O321" s="202"/>
      <c r="P321" s="36"/>
      <c r="Q321" s="52"/>
      <c r="R321" s="52"/>
      <c r="S321" s="52"/>
      <c r="U321" s="202"/>
      <c r="V321" s="202"/>
      <c r="W321" s="202"/>
      <c r="X321" s="202"/>
      <c r="Y321" s="13"/>
      <c r="Z321" s="36"/>
      <c r="AA321" s="13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289"/>
      <c r="AO321" s="289"/>
      <c r="AP321" s="289"/>
      <c r="AQ321" s="36"/>
      <c r="AR321" s="283"/>
      <c r="AS321" s="13"/>
      <c r="AT321" s="13"/>
      <c r="AU321" s="32"/>
      <c r="AV321" s="277"/>
      <c r="AW321" s="277"/>
      <c r="AX321" s="277"/>
      <c r="AY321" s="280"/>
      <c r="AZ321" s="268"/>
      <c r="BA321" s="268"/>
      <c r="BB321" s="13"/>
      <c r="BC321" s="36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</row>
    <row r="322" spans="1:73">
      <c r="A322" s="13"/>
      <c r="B322" s="13"/>
      <c r="C322" s="13"/>
      <c r="D322" s="13"/>
      <c r="E322" s="13"/>
      <c r="F322" s="13"/>
      <c r="G322" s="36"/>
      <c r="H322" s="36"/>
      <c r="I322" s="36"/>
      <c r="J322" s="36"/>
      <c r="K322" s="36"/>
      <c r="L322" s="36"/>
      <c r="M322" s="36"/>
      <c r="N322" s="13"/>
      <c r="O322" s="202"/>
      <c r="P322" s="36"/>
      <c r="Q322" s="52"/>
      <c r="R322" s="52"/>
      <c r="S322" s="52"/>
      <c r="U322" s="202"/>
      <c r="V322" s="202"/>
      <c r="W322" s="202"/>
      <c r="X322" s="202"/>
      <c r="Y322" s="13"/>
      <c r="Z322" s="36"/>
      <c r="AA322" s="13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289"/>
      <c r="AO322" s="289"/>
      <c r="AP322" s="289"/>
      <c r="AQ322" s="36"/>
      <c r="AR322" s="283"/>
      <c r="AS322" s="13"/>
      <c r="AT322" s="13"/>
      <c r="AU322" s="32"/>
      <c r="AV322" s="277"/>
      <c r="AW322" s="277"/>
      <c r="AX322" s="277"/>
      <c r="AY322" s="280"/>
      <c r="AZ322" s="268"/>
      <c r="BA322" s="268"/>
      <c r="BB322" s="13"/>
      <c r="BC322" s="36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</row>
    <row r="323" spans="1:73">
      <c r="A323" s="13"/>
      <c r="B323" s="13"/>
      <c r="C323" s="13"/>
      <c r="D323" s="13"/>
      <c r="E323" s="13"/>
      <c r="F323" s="13"/>
      <c r="G323" s="36"/>
      <c r="H323" s="36"/>
      <c r="I323" s="36"/>
      <c r="J323" s="36"/>
      <c r="K323" s="36"/>
      <c r="L323" s="36"/>
      <c r="M323" s="36"/>
      <c r="N323" s="13"/>
      <c r="O323" s="202"/>
      <c r="P323" s="36"/>
      <c r="Q323" s="52"/>
      <c r="R323" s="52"/>
      <c r="S323" s="52"/>
      <c r="U323" s="202"/>
      <c r="V323" s="202"/>
      <c r="W323" s="202"/>
      <c r="X323" s="202"/>
      <c r="Y323" s="13"/>
      <c r="Z323" s="36"/>
      <c r="AA323" s="13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289"/>
      <c r="AO323" s="289"/>
      <c r="AP323" s="289"/>
      <c r="AQ323" s="36"/>
      <c r="AR323" s="283"/>
      <c r="AS323" s="13"/>
      <c r="AT323" s="13"/>
      <c r="AU323" s="32"/>
      <c r="AV323" s="277"/>
      <c r="AW323" s="277"/>
      <c r="AX323" s="277"/>
      <c r="AY323" s="280"/>
      <c r="AZ323" s="268"/>
      <c r="BA323" s="268"/>
      <c r="BB323" s="13"/>
      <c r="BC323" s="36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</row>
    <row r="324" spans="1:73">
      <c r="A324" s="13"/>
      <c r="B324" s="13"/>
      <c r="C324" s="13"/>
      <c r="D324" s="13"/>
      <c r="E324" s="13"/>
      <c r="F324" s="13"/>
      <c r="G324" s="36"/>
      <c r="H324" s="36"/>
      <c r="I324" s="36"/>
      <c r="J324" s="36"/>
      <c r="K324" s="36"/>
      <c r="L324" s="36"/>
      <c r="M324" s="36"/>
      <c r="N324" s="13"/>
      <c r="O324" s="202"/>
      <c r="P324" s="36"/>
      <c r="Q324" s="52"/>
      <c r="R324" s="52"/>
      <c r="S324" s="52"/>
      <c r="U324" s="202"/>
      <c r="V324" s="202"/>
      <c r="W324" s="202"/>
      <c r="X324" s="202"/>
      <c r="Y324" s="13"/>
      <c r="Z324" s="36"/>
      <c r="AA324" s="13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289"/>
      <c r="AO324" s="289"/>
      <c r="AP324" s="289"/>
      <c r="AQ324" s="36"/>
      <c r="AR324" s="283"/>
      <c r="AS324" s="13"/>
      <c r="AT324" s="13"/>
      <c r="AU324" s="32"/>
      <c r="AV324" s="277"/>
      <c r="AW324" s="277"/>
      <c r="AX324" s="277"/>
      <c r="AY324" s="280"/>
      <c r="AZ324" s="268"/>
      <c r="BA324" s="268"/>
      <c r="BB324" s="13"/>
      <c r="BC324" s="36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</row>
    <row r="325" spans="1:73">
      <c r="A325" s="13"/>
      <c r="B325" s="13"/>
      <c r="C325" s="13"/>
      <c r="D325" s="13"/>
      <c r="E325" s="13"/>
      <c r="F325" s="13"/>
      <c r="G325" s="36"/>
      <c r="H325" s="36"/>
      <c r="I325" s="36"/>
      <c r="J325" s="36"/>
      <c r="K325" s="36"/>
      <c r="L325" s="36"/>
      <c r="M325" s="36"/>
      <c r="N325" s="13"/>
      <c r="O325" s="202"/>
      <c r="P325" s="36"/>
      <c r="Q325" s="52"/>
      <c r="R325" s="52"/>
      <c r="S325" s="52"/>
      <c r="U325" s="202"/>
      <c r="V325" s="202"/>
      <c r="W325" s="202"/>
      <c r="X325" s="202"/>
      <c r="Y325" s="13"/>
      <c r="Z325" s="36"/>
      <c r="AA325" s="13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289"/>
      <c r="AO325" s="289"/>
      <c r="AP325" s="289"/>
      <c r="AQ325" s="36"/>
      <c r="AR325" s="283"/>
      <c r="AS325" s="13"/>
      <c r="AT325" s="13"/>
      <c r="AU325" s="32"/>
      <c r="AV325" s="277"/>
      <c r="AW325" s="277"/>
      <c r="AX325" s="277"/>
      <c r="AY325" s="280"/>
      <c r="AZ325" s="268"/>
      <c r="BA325" s="268"/>
      <c r="BB325" s="13"/>
      <c r="BC325" s="36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</row>
    <row r="326" spans="1:73">
      <c r="A326" s="13"/>
      <c r="B326" s="13"/>
      <c r="C326" s="13"/>
      <c r="D326" s="13"/>
      <c r="E326" s="13"/>
      <c r="F326" s="13"/>
      <c r="G326" s="36"/>
      <c r="H326" s="36"/>
      <c r="I326" s="36"/>
      <c r="J326" s="36"/>
      <c r="K326" s="36"/>
      <c r="L326" s="36"/>
      <c r="M326" s="36"/>
      <c r="N326" s="13"/>
      <c r="O326" s="202"/>
      <c r="P326" s="36"/>
      <c r="Q326" s="52"/>
      <c r="R326" s="52"/>
      <c r="S326" s="52"/>
      <c r="U326" s="202"/>
      <c r="V326" s="202"/>
      <c r="W326" s="202"/>
      <c r="X326" s="202"/>
      <c r="Y326" s="13"/>
      <c r="Z326" s="36"/>
      <c r="AA326" s="13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289"/>
      <c r="AO326" s="289"/>
      <c r="AP326" s="289"/>
      <c r="AQ326" s="36"/>
      <c r="AR326" s="283"/>
      <c r="AS326" s="13"/>
      <c r="AT326" s="13"/>
      <c r="AU326" s="32"/>
      <c r="AV326" s="277"/>
      <c r="AW326" s="277"/>
      <c r="AX326" s="277"/>
      <c r="AY326" s="280"/>
      <c r="AZ326" s="268"/>
      <c r="BA326" s="268"/>
      <c r="BB326" s="13"/>
      <c r="BC326" s="36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</row>
    <row r="327" spans="1:73">
      <c r="A327" s="13"/>
      <c r="B327" s="13"/>
      <c r="C327" s="13"/>
      <c r="D327" s="13"/>
      <c r="E327" s="13"/>
      <c r="F327" s="13"/>
      <c r="G327" s="36"/>
      <c r="H327" s="36"/>
      <c r="I327" s="36"/>
      <c r="J327" s="36"/>
      <c r="K327" s="36"/>
      <c r="L327" s="36"/>
      <c r="M327" s="36"/>
      <c r="N327" s="13"/>
      <c r="O327" s="202"/>
      <c r="P327" s="36"/>
      <c r="Q327" s="52"/>
      <c r="R327" s="52"/>
      <c r="S327" s="52"/>
      <c r="U327" s="202"/>
      <c r="V327" s="202"/>
      <c r="W327" s="202"/>
      <c r="X327" s="202"/>
      <c r="Y327" s="13"/>
      <c r="Z327" s="36"/>
      <c r="AA327" s="13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289"/>
      <c r="AO327" s="289"/>
      <c r="AP327" s="289"/>
      <c r="AQ327" s="36"/>
      <c r="AR327" s="283"/>
      <c r="AS327" s="13"/>
      <c r="AT327" s="13"/>
      <c r="AU327" s="32"/>
      <c r="AV327" s="277"/>
      <c r="AW327" s="277"/>
      <c r="AX327" s="277"/>
      <c r="AY327" s="280"/>
      <c r="AZ327" s="268"/>
      <c r="BA327" s="268"/>
      <c r="BB327" s="13"/>
      <c r="BC327" s="36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</row>
    <row r="328" spans="1:73">
      <c r="A328" s="13"/>
      <c r="B328" s="13"/>
      <c r="C328" s="13"/>
      <c r="D328" s="13"/>
      <c r="E328" s="13"/>
      <c r="F328" s="13"/>
      <c r="G328" s="36"/>
      <c r="H328" s="36"/>
      <c r="I328" s="36"/>
      <c r="J328" s="36"/>
      <c r="K328" s="36"/>
      <c r="L328" s="36"/>
      <c r="M328" s="36"/>
      <c r="N328" s="13"/>
      <c r="O328" s="202"/>
      <c r="P328" s="36"/>
      <c r="Q328" s="52"/>
      <c r="R328" s="52"/>
      <c r="S328" s="52"/>
      <c r="U328" s="202"/>
      <c r="V328" s="202"/>
      <c r="W328" s="202"/>
      <c r="X328" s="202"/>
      <c r="Y328" s="13"/>
      <c r="Z328" s="36"/>
      <c r="AA328" s="13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289"/>
      <c r="AO328" s="289"/>
      <c r="AP328" s="289"/>
      <c r="AQ328" s="36"/>
      <c r="AR328" s="283"/>
      <c r="AS328" s="13"/>
      <c r="AT328" s="13"/>
      <c r="AU328" s="32"/>
      <c r="AV328" s="277"/>
      <c r="AW328" s="277"/>
      <c r="AX328" s="277"/>
      <c r="AY328" s="280"/>
      <c r="AZ328" s="268"/>
      <c r="BA328" s="268"/>
      <c r="BB328" s="13"/>
      <c r="BC328" s="36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</row>
    <row r="329" spans="1:73">
      <c r="A329" s="13"/>
      <c r="B329" s="13"/>
      <c r="C329" s="13"/>
      <c r="D329" s="13"/>
      <c r="E329" s="13"/>
      <c r="F329" s="13"/>
      <c r="G329" s="36"/>
      <c r="H329" s="36"/>
      <c r="I329" s="36"/>
      <c r="J329" s="36"/>
      <c r="K329" s="36"/>
      <c r="L329" s="36"/>
      <c r="M329" s="36"/>
      <c r="N329" s="13"/>
      <c r="O329" s="202"/>
      <c r="P329" s="36"/>
      <c r="Q329" s="52"/>
      <c r="R329" s="52"/>
      <c r="S329" s="52"/>
      <c r="U329" s="202"/>
      <c r="V329" s="202"/>
      <c r="W329" s="202"/>
      <c r="X329" s="202"/>
      <c r="Y329" s="13"/>
      <c r="Z329" s="36"/>
      <c r="AA329" s="13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289"/>
      <c r="AO329" s="289"/>
      <c r="AP329" s="289"/>
      <c r="AQ329" s="36"/>
      <c r="AR329" s="283"/>
      <c r="AS329" s="13"/>
      <c r="AT329" s="13"/>
      <c r="AU329" s="32"/>
      <c r="AV329" s="277"/>
      <c r="AW329" s="277"/>
      <c r="AX329" s="277"/>
      <c r="AY329" s="280"/>
      <c r="AZ329" s="268"/>
      <c r="BA329" s="268"/>
      <c r="BB329" s="13"/>
      <c r="BC329" s="36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</row>
    <row r="330" spans="1:73">
      <c r="A330" s="13"/>
      <c r="B330" s="13"/>
      <c r="C330" s="13"/>
      <c r="D330" s="13"/>
      <c r="E330" s="13"/>
      <c r="F330" s="13"/>
      <c r="G330" s="36"/>
      <c r="H330" s="36"/>
      <c r="I330" s="36"/>
      <c r="J330" s="36"/>
      <c r="K330" s="36"/>
      <c r="L330" s="36"/>
      <c r="M330" s="36"/>
      <c r="N330" s="13"/>
      <c r="O330" s="202"/>
      <c r="P330" s="36"/>
      <c r="Q330" s="52"/>
      <c r="R330" s="52"/>
      <c r="S330" s="52"/>
      <c r="U330" s="202"/>
      <c r="V330" s="202"/>
      <c r="W330" s="202"/>
      <c r="X330" s="202"/>
      <c r="Y330" s="13"/>
      <c r="Z330" s="36"/>
      <c r="AA330" s="13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289"/>
      <c r="AO330" s="289"/>
      <c r="AP330" s="289"/>
      <c r="AQ330" s="36"/>
      <c r="AR330" s="283"/>
      <c r="AS330" s="13"/>
      <c r="AT330" s="13"/>
      <c r="AU330" s="32"/>
      <c r="AV330" s="277"/>
      <c r="AW330" s="277"/>
      <c r="AX330" s="277"/>
      <c r="AY330" s="280"/>
      <c r="AZ330" s="268"/>
      <c r="BA330" s="268"/>
      <c r="BB330" s="13"/>
      <c r="BC330" s="36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</row>
    <row r="331" spans="1:73">
      <c r="A331" s="13"/>
      <c r="B331" s="13"/>
      <c r="C331" s="13"/>
      <c r="D331" s="13"/>
      <c r="E331" s="13"/>
      <c r="F331" s="13"/>
      <c r="G331" s="36"/>
      <c r="H331" s="36"/>
      <c r="I331" s="36"/>
      <c r="J331" s="36"/>
      <c r="K331" s="36"/>
      <c r="L331" s="36"/>
      <c r="M331" s="36"/>
      <c r="N331" s="13"/>
      <c r="O331" s="202"/>
      <c r="P331" s="36"/>
      <c r="Q331" s="52"/>
      <c r="R331" s="52"/>
      <c r="S331" s="52"/>
      <c r="U331" s="202"/>
      <c r="V331" s="202"/>
      <c r="W331" s="202"/>
      <c r="X331" s="202"/>
      <c r="Y331" s="13"/>
      <c r="Z331" s="36"/>
      <c r="AA331" s="13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289"/>
      <c r="AO331" s="289"/>
      <c r="AP331" s="289"/>
      <c r="AQ331" s="36"/>
      <c r="AR331" s="283"/>
      <c r="AS331" s="13"/>
      <c r="AT331" s="13"/>
      <c r="AU331" s="32"/>
      <c r="AV331" s="277"/>
      <c r="AW331" s="277"/>
      <c r="AX331" s="277"/>
      <c r="AY331" s="280"/>
      <c r="AZ331" s="268"/>
      <c r="BA331" s="268"/>
      <c r="BB331" s="13"/>
      <c r="BC331" s="36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</row>
    <row r="332" spans="1:73">
      <c r="A332" s="13"/>
      <c r="B332" s="13"/>
      <c r="C332" s="13"/>
      <c r="D332" s="13"/>
      <c r="E332" s="13"/>
      <c r="F332" s="13"/>
      <c r="G332" s="36"/>
      <c r="H332" s="36"/>
      <c r="I332" s="36"/>
      <c r="J332" s="36"/>
      <c r="K332" s="36"/>
      <c r="L332" s="36"/>
      <c r="M332" s="36"/>
      <c r="N332" s="13"/>
      <c r="O332" s="202"/>
      <c r="P332" s="36"/>
      <c r="Q332" s="52"/>
      <c r="R332" s="52"/>
      <c r="S332" s="52"/>
      <c r="U332" s="202"/>
      <c r="V332" s="202"/>
      <c r="W332" s="202"/>
      <c r="X332" s="202"/>
      <c r="Y332" s="13"/>
      <c r="Z332" s="36"/>
      <c r="AA332" s="13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289"/>
      <c r="AO332" s="289"/>
      <c r="AP332" s="289"/>
      <c r="AQ332" s="36"/>
      <c r="AR332" s="283"/>
      <c r="AS332" s="13"/>
      <c r="AT332" s="13"/>
      <c r="AU332" s="32"/>
      <c r="AV332" s="277"/>
      <c r="AW332" s="277"/>
      <c r="AX332" s="277"/>
      <c r="AY332" s="280"/>
      <c r="AZ332" s="268"/>
      <c r="BA332" s="268"/>
      <c r="BB332" s="13"/>
      <c r="BC332" s="36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</row>
    <row r="333" spans="1:73">
      <c r="A333" s="13"/>
      <c r="B333" s="13"/>
      <c r="C333" s="13"/>
      <c r="D333" s="13"/>
      <c r="E333" s="13"/>
      <c r="F333" s="13"/>
      <c r="G333" s="36"/>
      <c r="H333" s="36"/>
      <c r="I333" s="36"/>
      <c r="J333" s="36"/>
      <c r="K333" s="36"/>
      <c r="L333" s="36"/>
      <c r="M333" s="36"/>
      <c r="N333" s="13"/>
      <c r="O333" s="202"/>
      <c r="P333" s="36"/>
      <c r="Q333" s="52"/>
      <c r="R333" s="52"/>
      <c r="S333" s="52"/>
      <c r="U333" s="202"/>
      <c r="V333" s="202"/>
      <c r="W333" s="202"/>
      <c r="X333" s="202"/>
      <c r="Y333" s="13"/>
      <c r="Z333" s="36"/>
      <c r="AA333" s="13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289"/>
      <c r="AO333" s="289"/>
      <c r="AP333" s="289"/>
      <c r="AQ333" s="36"/>
      <c r="AR333" s="283"/>
      <c r="AS333" s="13"/>
      <c r="AT333" s="13"/>
      <c r="AU333" s="32"/>
      <c r="AV333" s="277"/>
      <c r="AW333" s="277"/>
      <c r="AX333" s="277"/>
      <c r="AY333" s="280"/>
      <c r="AZ333" s="268"/>
      <c r="BA333" s="268"/>
      <c r="BB333" s="13"/>
      <c r="BC333" s="36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</row>
    <row r="334" spans="1:73">
      <c r="A334" s="13"/>
      <c r="B334" s="13"/>
      <c r="C334" s="13"/>
      <c r="D334" s="13"/>
      <c r="E334" s="13"/>
      <c r="F334" s="13"/>
      <c r="G334" s="36"/>
      <c r="H334" s="36"/>
      <c r="I334" s="36"/>
      <c r="J334" s="36"/>
      <c r="K334" s="36"/>
      <c r="L334" s="36"/>
      <c r="M334" s="36"/>
      <c r="N334" s="13"/>
      <c r="O334" s="202"/>
      <c r="P334" s="36"/>
      <c r="Q334" s="52"/>
      <c r="R334" s="52"/>
      <c r="S334" s="52"/>
      <c r="U334" s="202"/>
      <c r="V334" s="202"/>
      <c r="W334" s="202"/>
      <c r="X334" s="202"/>
      <c r="Y334" s="13"/>
      <c r="Z334" s="36"/>
      <c r="AA334" s="13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289"/>
      <c r="AO334" s="289"/>
      <c r="AP334" s="289"/>
      <c r="AQ334" s="36"/>
      <c r="AR334" s="283"/>
      <c r="AS334" s="13"/>
      <c r="AT334" s="13"/>
      <c r="AU334" s="32"/>
      <c r="AV334" s="277"/>
      <c r="AW334" s="277"/>
      <c r="AX334" s="277"/>
      <c r="AY334" s="280"/>
      <c r="AZ334" s="268"/>
      <c r="BA334" s="268"/>
      <c r="BB334" s="13"/>
      <c r="BC334" s="36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</row>
    <row r="335" spans="1:73">
      <c r="A335" s="13"/>
      <c r="B335" s="13"/>
      <c r="C335" s="13"/>
      <c r="D335" s="13"/>
      <c r="E335" s="13"/>
      <c r="F335" s="13"/>
      <c r="G335" s="36"/>
      <c r="H335" s="36"/>
      <c r="I335" s="36"/>
      <c r="J335" s="36"/>
      <c r="K335" s="36"/>
      <c r="L335" s="36"/>
      <c r="M335" s="36"/>
      <c r="N335" s="13"/>
      <c r="O335" s="202"/>
      <c r="P335" s="36"/>
      <c r="Q335" s="52"/>
      <c r="R335" s="52"/>
      <c r="S335" s="52"/>
      <c r="U335" s="202"/>
      <c r="V335" s="202"/>
      <c r="W335" s="202"/>
      <c r="X335" s="202"/>
      <c r="Y335" s="13"/>
      <c r="Z335" s="36"/>
      <c r="AA335" s="13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289"/>
      <c r="AO335" s="289"/>
      <c r="AP335" s="289"/>
      <c r="AQ335" s="36"/>
      <c r="AR335" s="283"/>
      <c r="AS335" s="13"/>
      <c r="AT335" s="13"/>
      <c r="AU335" s="32"/>
      <c r="AV335" s="277"/>
      <c r="AW335" s="277"/>
      <c r="AX335" s="277"/>
      <c r="AY335" s="280"/>
      <c r="AZ335" s="268"/>
      <c r="BA335" s="268"/>
      <c r="BB335" s="13"/>
      <c r="BC335" s="36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</row>
    <row r="336" spans="1:73">
      <c r="A336" s="13"/>
      <c r="B336" s="13"/>
      <c r="C336" s="13"/>
      <c r="D336" s="13"/>
      <c r="E336" s="13"/>
      <c r="F336" s="13"/>
      <c r="G336" s="36"/>
      <c r="H336" s="36"/>
      <c r="I336" s="36"/>
      <c r="J336" s="36"/>
      <c r="K336" s="36"/>
      <c r="L336" s="36"/>
      <c r="M336" s="36"/>
      <c r="N336" s="13"/>
      <c r="O336" s="202"/>
      <c r="P336" s="36"/>
      <c r="Q336" s="52"/>
      <c r="R336" s="52"/>
      <c r="S336" s="52"/>
      <c r="U336" s="202"/>
      <c r="V336" s="202"/>
      <c r="W336" s="202"/>
      <c r="X336" s="202"/>
      <c r="Y336" s="13"/>
      <c r="Z336" s="36"/>
      <c r="AA336" s="13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289"/>
      <c r="AO336" s="289"/>
      <c r="AP336" s="289"/>
      <c r="AQ336" s="36"/>
      <c r="AR336" s="283"/>
      <c r="AS336" s="13"/>
      <c r="AT336" s="13"/>
      <c r="AU336" s="32"/>
      <c r="AV336" s="277"/>
      <c r="AW336" s="277"/>
      <c r="AX336" s="277"/>
      <c r="AY336" s="280"/>
      <c r="AZ336" s="268"/>
      <c r="BA336" s="268"/>
      <c r="BB336" s="13"/>
      <c r="BC336" s="36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</row>
    <row r="337" spans="1:73">
      <c r="A337" s="13"/>
      <c r="B337" s="13"/>
      <c r="C337" s="13"/>
      <c r="D337" s="13"/>
      <c r="E337" s="13"/>
      <c r="F337" s="13"/>
      <c r="G337" s="36"/>
      <c r="H337" s="36"/>
      <c r="I337" s="36"/>
      <c r="J337" s="36"/>
      <c r="K337" s="36"/>
      <c r="L337" s="36"/>
      <c r="M337" s="36"/>
      <c r="N337" s="13"/>
      <c r="O337" s="202"/>
      <c r="P337" s="36"/>
      <c r="Q337" s="52"/>
      <c r="R337" s="52"/>
      <c r="S337" s="52"/>
      <c r="U337" s="202"/>
      <c r="V337" s="202"/>
      <c r="W337" s="202"/>
      <c r="X337" s="202"/>
      <c r="Y337" s="13"/>
      <c r="Z337" s="36"/>
      <c r="AA337" s="13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289"/>
      <c r="AO337" s="289"/>
      <c r="AP337" s="289"/>
      <c r="AQ337" s="36"/>
      <c r="AR337" s="283"/>
      <c r="AS337" s="13"/>
      <c r="AT337" s="13"/>
      <c r="AU337" s="32"/>
      <c r="AV337" s="277"/>
      <c r="AW337" s="277"/>
      <c r="AX337" s="277"/>
      <c r="AY337" s="280"/>
      <c r="AZ337" s="268"/>
      <c r="BA337" s="268"/>
      <c r="BB337" s="13"/>
      <c r="BC337" s="36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</row>
    <row r="338" spans="1:73">
      <c r="A338" s="13"/>
      <c r="B338" s="13"/>
      <c r="C338" s="13"/>
      <c r="D338" s="13"/>
      <c r="E338" s="13"/>
      <c r="F338" s="13"/>
      <c r="G338" s="36"/>
      <c r="H338" s="36"/>
      <c r="I338" s="36"/>
      <c r="J338" s="36"/>
      <c r="K338" s="36"/>
      <c r="L338" s="36"/>
      <c r="M338" s="36"/>
      <c r="N338" s="13"/>
      <c r="O338" s="202"/>
      <c r="P338" s="36"/>
      <c r="Q338" s="52"/>
      <c r="R338" s="52"/>
      <c r="S338" s="52"/>
      <c r="U338" s="202"/>
      <c r="V338" s="202"/>
      <c r="W338" s="202"/>
      <c r="X338" s="202"/>
      <c r="Y338" s="13"/>
      <c r="Z338" s="36"/>
      <c r="AA338" s="13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289"/>
      <c r="AO338" s="289"/>
      <c r="AP338" s="289"/>
      <c r="AQ338" s="36"/>
      <c r="AR338" s="283"/>
      <c r="AS338" s="13"/>
      <c r="AT338" s="13"/>
      <c r="AU338" s="32"/>
      <c r="AV338" s="277"/>
      <c r="AW338" s="277"/>
      <c r="AX338" s="277"/>
      <c r="AY338" s="280"/>
      <c r="AZ338" s="268"/>
      <c r="BA338" s="268"/>
      <c r="BB338" s="13"/>
      <c r="BC338" s="36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</row>
    <row r="339" spans="1:73">
      <c r="A339" s="13"/>
      <c r="B339" s="13"/>
      <c r="C339" s="13"/>
      <c r="D339" s="13"/>
      <c r="E339" s="13"/>
      <c r="F339" s="13"/>
      <c r="G339" s="36"/>
      <c r="H339" s="36"/>
      <c r="I339" s="36"/>
      <c r="J339" s="36"/>
      <c r="K339" s="36"/>
      <c r="L339" s="36"/>
      <c r="M339" s="36"/>
      <c r="N339" s="13"/>
      <c r="O339" s="202"/>
      <c r="P339" s="36"/>
      <c r="Q339" s="52"/>
      <c r="R339" s="52"/>
      <c r="S339" s="52"/>
      <c r="U339" s="202"/>
      <c r="V339" s="202"/>
      <c r="W339" s="202"/>
      <c r="X339" s="202"/>
      <c r="Y339" s="13"/>
      <c r="Z339" s="36"/>
      <c r="AA339" s="13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289"/>
      <c r="AO339" s="289"/>
      <c r="AP339" s="289"/>
      <c r="AQ339" s="36"/>
      <c r="AR339" s="283"/>
      <c r="AS339" s="13"/>
      <c r="AT339" s="13"/>
      <c r="AU339" s="32"/>
      <c r="AV339" s="277"/>
      <c r="AW339" s="277"/>
      <c r="AX339" s="277"/>
      <c r="AY339" s="280"/>
      <c r="AZ339" s="268"/>
      <c r="BA339" s="268"/>
      <c r="BB339" s="13"/>
      <c r="BC339" s="36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</row>
    <row r="340" spans="1:73">
      <c r="A340" s="13"/>
      <c r="B340" s="13"/>
      <c r="C340" s="13"/>
      <c r="D340" s="13"/>
      <c r="E340" s="13"/>
      <c r="F340" s="13"/>
      <c r="G340" s="36"/>
      <c r="H340" s="36"/>
      <c r="I340" s="36"/>
      <c r="J340" s="36"/>
      <c r="K340" s="36"/>
      <c r="L340" s="36"/>
      <c r="M340" s="36"/>
      <c r="N340" s="13"/>
      <c r="O340" s="202"/>
      <c r="P340" s="36"/>
      <c r="Q340" s="52"/>
      <c r="R340" s="52"/>
      <c r="S340" s="52"/>
      <c r="U340" s="202"/>
      <c r="V340" s="202"/>
      <c r="W340" s="202"/>
      <c r="X340" s="202"/>
      <c r="Y340" s="13"/>
      <c r="Z340" s="36"/>
      <c r="AA340" s="13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289"/>
      <c r="AO340" s="289"/>
      <c r="AP340" s="289"/>
      <c r="AQ340" s="36"/>
      <c r="AR340" s="283"/>
      <c r="AS340" s="13"/>
      <c r="AT340" s="13"/>
      <c r="AU340" s="32"/>
      <c r="AV340" s="277"/>
      <c r="AW340" s="277"/>
      <c r="AX340" s="277"/>
      <c r="AY340" s="280"/>
      <c r="AZ340" s="268"/>
      <c r="BA340" s="268"/>
      <c r="BB340" s="13"/>
      <c r="BC340" s="36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</row>
    <row r="341" spans="1:73">
      <c r="A341" s="13"/>
      <c r="B341" s="13"/>
      <c r="C341" s="13"/>
      <c r="D341" s="13"/>
      <c r="E341" s="13"/>
      <c r="F341" s="13"/>
      <c r="G341" s="36"/>
      <c r="H341" s="36"/>
      <c r="I341" s="36"/>
      <c r="J341" s="36"/>
      <c r="K341" s="36"/>
      <c r="L341" s="36"/>
      <c r="M341" s="36"/>
      <c r="N341" s="13"/>
      <c r="O341" s="202"/>
      <c r="P341" s="36"/>
      <c r="Q341" s="52"/>
      <c r="R341" s="52"/>
      <c r="S341" s="52"/>
      <c r="U341" s="202"/>
      <c r="V341" s="202"/>
      <c r="W341" s="202"/>
      <c r="X341" s="202"/>
      <c r="Y341" s="13"/>
      <c r="Z341" s="36"/>
      <c r="AA341" s="13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289"/>
      <c r="AO341" s="289"/>
      <c r="AP341" s="289"/>
      <c r="AQ341" s="36"/>
      <c r="AR341" s="283"/>
      <c r="AS341" s="13"/>
      <c r="AT341" s="13"/>
      <c r="AU341" s="32"/>
      <c r="AV341" s="277"/>
      <c r="AW341" s="277"/>
      <c r="AX341" s="277"/>
      <c r="AY341" s="280"/>
      <c r="AZ341" s="268"/>
      <c r="BA341" s="268"/>
      <c r="BB341" s="13"/>
      <c r="BC341" s="36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</row>
    <row r="342" spans="1:73">
      <c r="A342" s="13"/>
      <c r="B342" s="13"/>
      <c r="C342" s="13"/>
      <c r="D342" s="13"/>
      <c r="E342" s="13"/>
      <c r="F342" s="13"/>
      <c r="G342" s="36"/>
      <c r="H342" s="36"/>
      <c r="I342" s="36"/>
      <c r="J342" s="36"/>
      <c r="K342" s="36"/>
      <c r="L342" s="36"/>
      <c r="M342" s="36"/>
      <c r="N342" s="13"/>
      <c r="O342" s="202"/>
      <c r="P342" s="36"/>
      <c r="Q342" s="52"/>
      <c r="R342" s="52"/>
      <c r="S342" s="52"/>
      <c r="U342" s="202"/>
      <c r="V342" s="202"/>
      <c r="W342" s="202"/>
      <c r="X342" s="202"/>
      <c r="Y342" s="13"/>
      <c r="Z342" s="36"/>
      <c r="AA342" s="13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289"/>
      <c r="AO342" s="289"/>
      <c r="AP342" s="289"/>
      <c r="AQ342" s="36"/>
      <c r="AR342" s="283"/>
      <c r="AS342" s="13"/>
      <c r="AT342" s="13"/>
      <c r="AU342" s="32"/>
      <c r="AV342" s="277"/>
      <c r="AW342" s="277"/>
      <c r="AX342" s="277"/>
      <c r="AY342" s="280"/>
      <c r="AZ342" s="268"/>
      <c r="BA342" s="268"/>
      <c r="BB342" s="13"/>
      <c r="BC342" s="36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</row>
    <row r="343" spans="1:73">
      <c r="A343" s="13"/>
      <c r="B343" s="13"/>
      <c r="C343" s="13"/>
      <c r="D343" s="13"/>
      <c r="E343" s="13"/>
      <c r="F343" s="13"/>
      <c r="G343" s="36"/>
      <c r="H343" s="36"/>
      <c r="I343" s="36"/>
      <c r="J343" s="36"/>
      <c r="K343" s="36"/>
      <c r="L343" s="36"/>
      <c r="M343" s="36"/>
      <c r="N343" s="13"/>
      <c r="O343" s="202"/>
      <c r="P343" s="36"/>
      <c r="Q343" s="52"/>
      <c r="R343" s="52"/>
      <c r="S343" s="52"/>
      <c r="U343" s="202"/>
      <c r="V343" s="202"/>
      <c r="W343" s="202"/>
      <c r="X343" s="202"/>
      <c r="Y343" s="13"/>
      <c r="Z343" s="36"/>
      <c r="AA343" s="13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289"/>
      <c r="AO343" s="289"/>
      <c r="AP343" s="289"/>
      <c r="AQ343" s="36"/>
      <c r="AR343" s="283"/>
      <c r="AS343" s="13"/>
      <c r="AT343" s="13"/>
      <c r="AU343" s="32"/>
      <c r="AV343" s="277"/>
      <c r="AW343" s="277"/>
      <c r="AX343" s="277"/>
      <c r="AY343" s="280"/>
      <c r="AZ343" s="268"/>
      <c r="BA343" s="268"/>
      <c r="BB343" s="13"/>
      <c r="BC343" s="36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</row>
    <row r="344" spans="1:73">
      <c r="A344" s="13"/>
      <c r="B344" s="13"/>
      <c r="C344" s="13"/>
      <c r="D344" s="13"/>
      <c r="E344" s="13"/>
      <c r="F344" s="13"/>
      <c r="G344" s="36"/>
      <c r="H344" s="36"/>
      <c r="I344" s="36"/>
      <c r="J344" s="36"/>
      <c r="K344" s="36"/>
      <c r="L344" s="36"/>
      <c r="M344" s="36"/>
      <c r="N344" s="13"/>
      <c r="O344" s="202"/>
      <c r="P344" s="36"/>
      <c r="Q344" s="52"/>
      <c r="R344" s="52"/>
      <c r="S344" s="52"/>
      <c r="U344" s="202"/>
      <c r="V344" s="202"/>
      <c r="W344" s="202"/>
      <c r="X344" s="202"/>
      <c r="Y344" s="13"/>
      <c r="Z344" s="36"/>
      <c r="AA344" s="13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289"/>
      <c r="AO344" s="289"/>
      <c r="AP344" s="289"/>
      <c r="AQ344" s="36"/>
      <c r="AR344" s="283"/>
      <c r="AS344" s="13"/>
      <c r="AT344" s="13"/>
      <c r="AU344" s="32"/>
      <c r="AV344" s="277"/>
      <c r="AW344" s="277"/>
      <c r="AX344" s="277"/>
      <c r="AY344" s="280"/>
      <c r="AZ344" s="268"/>
      <c r="BA344" s="268"/>
      <c r="BB344" s="13"/>
      <c r="BC344" s="36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</row>
    <row r="345" spans="1:73">
      <c r="A345" s="13"/>
      <c r="B345" s="13"/>
      <c r="C345" s="13"/>
      <c r="D345" s="13"/>
      <c r="E345" s="13"/>
      <c r="F345" s="13"/>
      <c r="G345" s="36"/>
      <c r="H345" s="36"/>
      <c r="I345" s="36"/>
      <c r="J345" s="36"/>
      <c r="K345" s="36"/>
      <c r="L345" s="36"/>
      <c r="M345" s="36"/>
      <c r="N345" s="13"/>
      <c r="O345" s="202"/>
      <c r="P345" s="36"/>
      <c r="Q345" s="52"/>
      <c r="R345" s="52"/>
      <c r="S345" s="52"/>
      <c r="U345" s="202"/>
      <c r="V345" s="202"/>
      <c r="W345" s="202"/>
      <c r="X345" s="202"/>
      <c r="Y345" s="13"/>
      <c r="Z345" s="36"/>
      <c r="AA345" s="13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289"/>
      <c r="AO345" s="289"/>
      <c r="AP345" s="289"/>
      <c r="AQ345" s="36"/>
      <c r="AR345" s="283"/>
      <c r="AS345" s="13"/>
      <c r="AT345" s="13"/>
      <c r="AU345" s="32"/>
      <c r="AV345" s="277"/>
      <c r="AW345" s="277"/>
      <c r="AX345" s="277"/>
      <c r="AY345" s="280"/>
      <c r="AZ345" s="268"/>
      <c r="BA345" s="268"/>
      <c r="BB345" s="13"/>
      <c r="BC345" s="36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</row>
    <row r="346" spans="1:73">
      <c r="A346" s="13"/>
      <c r="B346" s="13"/>
      <c r="C346" s="13"/>
      <c r="D346" s="13"/>
      <c r="E346" s="13"/>
      <c r="F346" s="13"/>
      <c r="G346" s="36"/>
      <c r="H346" s="36"/>
      <c r="I346" s="36"/>
      <c r="J346" s="36"/>
      <c r="K346" s="36"/>
      <c r="L346" s="36"/>
      <c r="M346" s="36"/>
      <c r="N346" s="13"/>
      <c r="O346" s="202"/>
      <c r="P346" s="36"/>
      <c r="Q346" s="52"/>
      <c r="R346" s="52"/>
      <c r="S346" s="52"/>
      <c r="U346" s="202"/>
      <c r="V346" s="202"/>
      <c r="W346" s="202"/>
      <c r="X346" s="202"/>
      <c r="Y346" s="13"/>
      <c r="Z346" s="36"/>
      <c r="AA346" s="13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289"/>
      <c r="AO346" s="289"/>
      <c r="AP346" s="289"/>
      <c r="AQ346" s="36"/>
      <c r="AR346" s="283"/>
      <c r="AS346" s="13"/>
      <c r="AT346" s="13"/>
      <c r="AU346" s="32"/>
      <c r="AV346" s="277"/>
      <c r="AW346" s="277"/>
      <c r="AX346" s="277"/>
      <c r="AY346" s="280"/>
      <c r="AZ346" s="268"/>
      <c r="BA346" s="268"/>
      <c r="BB346" s="13"/>
      <c r="BC346" s="36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</row>
    <row r="347" spans="1:73">
      <c r="A347" s="13"/>
      <c r="B347" s="13"/>
      <c r="C347" s="13"/>
      <c r="D347" s="13"/>
      <c r="E347" s="13"/>
      <c r="F347" s="13"/>
      <c r="G347" s="36"/>
      <c r="H347" s="36"/>
      <c r="I347" s="36"/>
      <c r="J347" s="36"/>
      <c r="K347" s="36"/>
      <c r="L347" s="36"/>
      <c r="M347" s="36"/>
      <c r="N347" s="13"/>
      <c r="O347" s="202"/>
      <c r="P347" s="36"/>
      <c r="Q347" s="52"/>
      <c r="R347" s="52"/>
      <c r="S347" s="52"/>
      <c r="U347" s="202"/>
      <c r="V347" s="202"/>
      <c r="W347" s="202"/>
      <c r="X347" s="202"/>
      <c r="Y347" s="13"/>
      <c r="Z347" s="36"/>
      <c r="AA347" s="13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289"/>
      <c r="AO347" s="289"/>
      <c r="AP347" s="289"/>
      <c r="AQ347" s="36"/>
      <c r="AR347" s="283"/>
      <c r="AS347" s="13"/>
      <c r="AT347" s="13"/>
      <c r="AU347" s="32"/>
      <c r="AV347" s="277"/>
      <c r="AW347" s="277"/>
      <c r="AX347" s="277"/>
      <c r="AY347" s="280"/>
      <c r="AZ347" s="268"/>
      <c r="BA347" s="268"/>
      <c r="BB347" s="13"/>
      <c r="BC347" s="36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</row>
    <row r="348" spans="1:73">
      <c r="A348" s="13"/>
      <c r="B348" s="13"/>
      <c r="C348" s="13"/>
      <c r="D348" s="13"/>
      <c r="E348" s="13"/>
      <c r="F348" s="13"/>
      <c r="G348" s="36"/>
      <c r="H348" s="36"/>
      <c r="I348" s="36"/>
      <c r="J348" s="36"/>
      <c r="K348" s="36"/>
      <c r="L348" s="36"/>
      <c r="M348" s="36"/>
      <c r="N348" s="13"/>
      <c r="O348" s="202"/>
      <c r="P348" s="36"/>
      <c r="Q348" s="52"/>
      <c r="R348" s="52"/>
      <c r="S348" s="52"/>
      <c r="U348" s="202"/>
      <c r="V348" s="202"/>
      <c r="W348" s="202"/>
      <c r="X348" s="202"/>
      <c r="Y348" s="13"/>
      <c r="Z348" s="36"/>
      <c r="AA348" s="13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289"/>
      <c r="AO348" s="289"/>
      <c r="AP348" s="289"/>
      <c r="AQ348" s="36"/>
      <c r="AR348" s="283"/>
      <c r="AS348" s="13"/>
      <c r="AT348" s="13"/>
      <c r="AU348" s="32"/>
      <c r="AV348" s="277"/>
      <c r="AW348" s="277"/>
      <c r="AX348" s="277"/>
      <c r="AY348" s="280"/>
      <c r="AZ348" s="268"/>
      <c r="BA348" s="268"/>
      <c r="BB348" s="13"/>
      <c r="BC348" s="36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</row>
    <row r="349" spans="1:73">
      <c r="A349" s="13"/>
      <c r="B349" s="13"/>
      <c r="C349" s="13"/>
      <c r="D349" s="13"/>
      <c r="E349" s="13"/>
      <c r="F349" s="13"/>
      <c r="G349" s="36"/>
      <c r="H349" s="36"/>
      <c r="I349" s="36"/>
      <c r="J349" s="36"/>
      <c r="K349" s="36"/>
      <c r="L349" s="36"/>
      <c r="M349" s="36"/>
      <c r="N349" s="13"/>
      <c r="O349" s="202"/>
      <c r="P349" s="36"/>
      <c r="Q349" s="52"/>
      <c r="R349" s="52"/>
      <c r="S349" s="52"/>
      <c r="U349" s="202"/>
      <c r="V349" s="202"/>
      <c r="W349" s="202"/>
      <c r="X349" s="202"/>
      <c r="Y349" s="13"/>
      <c r="Z349" s="36"/>
      <c r="AA349" s="13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289"/>
      <c r="AO349" s="289"/>
      <c r="AP349" s="289"/>
      <c r="AQ349" s="36"/>
      <c r="AR349" s="283"/>
      <c r="AS349" s="13"/>
      <c r="AT349" s="13"/>
      <c r="AU349" s="32"/>
      <c r="AV349" s="277"/>
      <c r="AW349" s="277"/>
      <c r="AX349" s="277"/>
      <c r="AY349" s="280"/>
      <c r="AZ349" s="268"/>
      <c r="BA349" s="268"/>
      <c r="BB349" s="13"/>
      <c r="BC349" s="36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</row>
    <row r="350" spans="1:73">
      <c r="A350" s="13"/>
      <c r="B350" s="13"/>
      <c r="C350" s="13"/>
      <c r="D350" s="13"/>
      <c r="E350" s="13"/>
      <c r="F350" s="13"/>
      <c r="G350" s="36"/>
      <c r="H350" s="36"/>
      <c r="I350" s="36"/>
      <c r="J350" s="36"/>
      <c r="K350" s="36"/>
      <c r="L350" s="36"/>
      <c r="M350" s="36"/>
      <c r="N350" s="13"/>
      <c r="O350" s="202"/>
      <c r="P350" s="36"/>
      <c r="Q350" s="52"/>
      <c r="R350" s="52"/>
      <c r="S350" s="52"/>
      <c r="U350" s="202"/>
      <c r="V350" s="202"/>
      <c r="W350" s="202"/>
      <c r="X350" s="202"/>
      <c r="Y350" s="13"/>
      <c r="Z350" s="36"/>
      <c r="AA350" s="13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289"/>
      <c r="AO350" s="289"/>
      <c r="AP350" s="289"/>
      <c r="AQ350" s="36"/>
      <c r="AR350" s="283"/>
      <c r="AS350" s="13"/>
      <c r="AT350" s="13"/>
      <c r="AU350" s="32"/>
      <c r="AV350" s="277"/>
      <c r="AW350" s="277"/>
      <c r="AX350" s="277"/>
      <c r="AY350" s="280"/>
      <c r="AZ350" s="268"/>
      <c r="BA350" s="268"/>
      <c r="BB350" s="13"/>
      <c r="BC350" s="36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</row>
    <row r="351" spans="1:73">
      <c r="A351" s="13"/>
      <c r="B351" s="13"/>
      <c r="C351" s="13"/>
      <c r="D351" s="13"/>
      <c r="E351" s="13"/>
      <c r="F351" s="13"/>
      <c r="G351" s="36"/>
      <c r="H351" s="36"/>
      <c r="I351" s="36"/>
      <c r="J351" s="36"/>
      <c r="K351" s="36"/>
      <c r="L351" s="36"/>
      <c r="M351" s="36"/>
      <c r="N351" s="13"/>
      <c r="O351" s="202"/>
      <c r="P351" s="36"/>
      <c r="Q351" s="52"/>
      <c r="R351" s="52"/>
      <c r="S351" s="52"/>
      <c r="U351" s="202"/>
      <c r="V351" s="202"/>
      <c r="W351" s="202"/>
      <c r="X351" s="202"/>
      <c r="Y351" s="13"/>
      <c r="Z351" s="36"/>
      <c r="AA351" s="13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289"/>
      <c r="AO351" s="289"/>
      <c r="AP351" s="289"/>
      <c r="AQ351" s="36"/>
      <c r="AR351" s="283"/>
      <c r="AS351" s="13"/>
      <c r="AT351" s="13"/>
      <c r="AU351" s="32"/>
      <c r="AV351" s="277"/>
      <c r="AW351" s="277"/>
      <c r="AX351" s="277"/>
      <c r="AY351" s="280"/>
      <c r="AZ351" s="268"/>
      <c r="BA351" s="268"/>
      <c r="BB351" s="13"/>
      <c r="BC351" s="36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</row>
    <row r="352" spans="1:73">
      <c r="A352" s="13"/>
      <c r="B352" s="13"/>
      <c r="C352" s="13"/>
      <c r="D352" s="13"/>
      <c r="E352" s="13"/>
      <c r="F352" s="13"/>
      <c r="G352" s="36"/>
      <c r="H352" s="36"/>
      <c r="I352" s="36"/>
      <c r="J352" s="36"/>
      <c r="K352" s="36"/>
      <c r="L352" s="36"/>
      <c r="M352" s="36"/>
      <c r="N352" s="13"/>
      <c r="O352" s="202"/>
      <c r="P352" s="36"/>
      <c r="Q352" s="52"/>
      <c r="R352" s="52"/>
      <c r="S352" s="52"/>
      <c r="U352" s="202"/>
      <c r="V352" s="202"/>
      <c r="W352" s="202"/>
      <c r="X352" s="202"/>
      <c r="Y352" s="13"/>
      <c r="Z352" s="36"/>
      <c r="AA352" s="13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289"/>
      <c r="AO352" s="289"/>
      <c r="AP352" s="289"/>
      <c r="AQ352" s="36"/>
      <c r="AR352" s="283"/>
      <c r="AS352" s="13"/>
      <c r="AT352" s="13"/>
      <c r="AU352" s="32"/>
      <c r="AV352" s="277"/>
      <c r="AW352" s="277"/>
      <c r="AX352" s="277"/>
      <c r="AY352" s="280"/>
      <c r="AZ352" s="268"/>
      <c r="BA352" s="268"/>
      <c r="BB352" s="13"/>
      <c r="BC352" s="36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</row>
    <row r="353" spans="1:73">
      <c r="A353" s="13"/>
      <c r="B353" s="13"/>
      <c r="C353" s="13"/>
      <c r="D353" s="13"/>
      <c r="E353" s="13"/>
      <c r="F353" s="13"/>
      <c r="G353" s="36"/>
      <c r="H353" s="36"/>
      <c r="I353" s="36"/>
      <c r="J353" s="36"/>
      <c r="K353" s="36"/>
      <c r="L353" s="36"/>
      <c r="M353" s="36"/>
      <c r="N353" s="13"/>
      <c r="O353" s="202"/>
      <c r="P353" s="36"/>
      <c r="Q353" s="52"/>
      <c r="R353" s="52"/>
      <c r="S353" s="52"/>
      <c r="U353" s="202"/>
      <c r="V353" s="202"/>
      <c r="W353" s="202"/>
      <c r="X353" s="202"/>
      <c r="Y353" s="13"/>
      <c r="Z353" s="36"/>
      <c r="AA353" s="13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289"/>
      <c r="AO353" s="289"/>
      <c r="AP353" s="289"/>
      <c r="AQ353" s="36"/>
      <c r="AR353" s="283"/>
      <c r="AS353" s="13"/>
      <c r="AT353" s="13"/>
      <c r="AU353" s="32"/>
      <c r="AV353" s="277"/>
      <c r="AW353" s="277"/>
      <c r="AX353" s="277"/>
      <c r="AY353" s="280"/>
      <c r="AZ353" s="268"/>
      <c r="BA353" s="268"/>
      <c r="BB353" s="13"/>
      <c r="BC353" s="36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</row>
    <row r="354" spans="1:73">
      <c r="A354" s="13"/>
      <c r="B354" s="13"/>
      <c r="C354" s="13"/>
      <c r="D354" s="13"/>
      <c r="E354" s="13"/>
      <c r="F354" s="13"/>
      <c r="G354" s="36"/>
      <c r="H354" s="36"/>
      <c r="I354" s="36"/>
      <c r="J354" s="36"/>
      <c r="K354" s="36"/>
      <c r="L354" s="36"/>
      <c r="M354" s="36"/>
      <c r="N354" s="13"/>
      <c r="O354" s="202"/>
      <c r="P354" s="36"/>
      <c r="Q354" s="52"/>
      <c r="R354" s="52"/>
      <c r="S354" s="52"/>
      <c r="U354" s="202"/>
      <c r="V354" s="202"/>
      <c r="W354" s="202"/>
      <c r="X354" s="202"/>
      <c r="Y354" s="13"/>
      <c r="Z354" s="36"/>
      <c r="AA354" s="13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289"/>
      <c r="AO354" s="289"/>
      <c r="AP354" s="289"/>
      <c r="AQ354" s="36"/>
      <c r="AR354" s="283"/>
      <c r="AS354" s="13"/>
      <c r="AT354" s="13"/>
      <c r="AU354" s="32"/>
      <c r="AV354" s="277"/>
      <c r="AW354" s="277"/>
      <c r="AX354" s="277"/>
      <c r="AY354" s="280"/>
      <c r="AZ354" s="268"/>
      <c r="BA354" s="268"/>
      <c r="BB354" s="13"/>
      <c r="BC354" s="36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</row>
    <row r="355" spans="1:73">
      <c r="A355" s="13"/>
      <c r="B355" s="13"/>
      <c r="C355" s="13"/>
      <c r="D355" s="13"/>
      <c r="E355" s="13"/>
      <c r="F355" s="13"/>
      <c r="G355" s="36"/>
      <c r="H355" s="36"/>
      <c r="I355" s="36"/>
      <c r="J355" s="36"/>
      <c r="K355" s="36"/>
      <c r="L355" s="36"/>
      <c r="M355" s="36"/>
      <c r="N355" s="13"/>
      <c r="O355" s="202"/>
      <c r="P355" s="36"/>
      <c r="Q355" s="52"/>
      <c r="R355" s="52"/>
      <c r="S355" s="52"/>
      <c r="U355" s="202"/>
      <c r="V355" s="202"/>
      <c r="W355" s="202"/>
      <c r="X355" s="202"/>
      <c r="Y355" s="13"/>
      <c r="Z355" s="36"/>
      <c r="AA355" s="13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289"/>
      <c r="AO355" s="289"/>
      <c r="AP355" s="289"/>
      <c r="AQ355" s="36"/>
      <c r="AR355" s="283"/>
      <c r="AS355" s="13"/>
      <c r="AT355" s="13"/>
      <c r="AU355" s="32"/>
      <c r="AV355" s="277"/>
      <c r="AW355" s="277"/>
      <c r="AX355" s="277"/>
      <c r="AY355" s="280"/>
      <c r="AZ355" s="268"/>
      <c r="BA355" s="268"/>
      <c r="BB355" s="13"/>
      <c r="BC355" s="36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</row>
    <row r="356" spans="1:73">
      <c r="A356" s="13"/>
      <c r="B356" s="13"/>
      <c r="C356" s="13"/>
      <c r="D356" s="13"/>
      <c r="E356" s="13"/>
      <c r="F356" s="13"/>
      <c r="G356" s="36"/>
      <c r="H356" s="36"/>
      <c r="I356" s="36"/>
      <c r="J356" s="36"/>
      <c r="K356" s="36"/>
      <c r="L356" s="36"/>
      <c r="M356" s="36"/>
      <c r="N356" s="13"/>
      <c r="O356" s="202"/>
      <c r="P356" s="36"/>
      <c r="Q356" s="52"/>
      <c r="R356" s="52"/>
      <c r="S356" s="52"/>
      <c r="U356" s="202"/>
      <c r="V356" s="202"/>
      <c r="W356" s="202"/>
      <c r="X356" s="202"/>
      <c r="Y356" s="13"/>
      <c r="Z356" s="36"/>
      <c r="AA356" s="13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289"/>
      <c r="AO356" s="289"/>
      <c r="AP356" s="289"/>
      <c r="AQ356" s="36"/>
      <c r="AR356" s="283"/>
      <c r="AS356" s="13"/>
      <c r="AT356" s="13"/>
      <c r="AU356" s="32"/>
      <c r="AV356" s="277"/>
      <c r="AW356" s="277"/>
      <c r="AX356" s="277"/>
      <c r="AY356" s="280"/>
      <c r="AZ356" s="268"/>
      <c r="BA356" s="268"/>
      <c r="BB356" s="13"/>
      <c r="BC356" s="36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</row>
    <row r="357" spans="1:73">
      <c r="A357" s="13"/>
      <c r="B357" s="13"/>
      <c r="C357" s="13"/>
      <c r="D357" s="13"/>
      <c r="E357" s="13"/>
      <c r="F357" s="13"/>
      <c r="G357" s="36"/>
      <c r="H357" s="36"/>
      <c r="I357" s="36"/>
      <c r="J357" s="36"/>
      <c r="K357" s="36"/>
      <c r="L357" s="36"/>
      <c r="M357" s="36"/>
      <c r="N357" s="13"/>
      <c r="O357" s="202"/>
      <c r="P357" s="36"/>
      <c r="Q357" s="52"/>
      <c r="R357" s="52"/>
      <c r="S357" s="52"/>
      <c r="U357" s="202"/>
      <c r="V357" s="202"/>
      <c r="W357" s="202"/>
      <c r="X357" s="202"/>
      <c r="Y357" s="13"/>
      <c r="Z357" s="36"/>
      <c r="AA357" s="13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289"/>
      <c r="AO357" s="289"/>
      <c r="AP357" s="289"/>
      <c r="AQ357" s="36"/>
      <c r="AR357" s="283"/>
      <c r="AS357" s="13"/>
      <c r="AT357" s="13"/>
      <c r="AU357" s="32"/>
      <c r="AV357" s="277"/>
      <c r="AW357" s="277"/>
      <c r="AX357" s="277"/>
      <c r="AY357" s="280"/>
      <c r="AZ357" s="268"/>
      <c r="BA357" s="268"/>
      <c r="BB357" s="13"/>
      <c r="BC357" s="36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</row>
    <row r="358" spans="1:73">
      <c r="A358" s="13"/>
      <c r="B358" s="13"/>
      <c r="C358" s="13"/>
      <c r="D358" s="13"/>
      <c r="E358" s="13"/>
      <c r="F358" s="13"/>
      <c r="G358" s="36"/>
      <c r="H358" s="36"/>
      <c r="I358" s="36"/>
      <c r="J358" s="36"/>
      <c r="K358" s="36"/>
      <c r="L358" s="36"/>
      <c r="M358" s="36"/>
      <c r="N358" s="13"/>
      <c r="O358" s="202"/>
      <c r="P358" s="36"/>
      <c r="Q358" s="52"/>
      <c r="R358" s="52"/>
      <c r="S358" s="52"/>
      <c r="U358" s="202"/>
      <c r="V358" s="202"/>
      <c r="W358" s="202"/>
      <c r="X358" s="202"/>
      <c r="Y358" s="13"/>
      <c r="Z358" s="36"/>
      <c r="AA358" s="13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289"/>
      <c r="AO358" s="289"/>
      <c r="AP358" s="289"/>
      <c r="AQ358" s="36"/>
      <c r="AR358" s="283"/>
      <c r="AS358" s="13"/>
      <c r="AT358" s="13"/>
      <c r="AU358" s="32"/>
      <c r="AV358" s="277"/>
      <c r="AW358" s="277"/>
      <c r="AX358" s="277"/>
      <c r="AY358" s="280"/>
      <c r="AZ358" s="268"/>
      <c r="BA358" s="268"/>
      <c r="BB358" s="13"/>
      <c r="BC358" s="36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</row>
    <row r="359" spans="1:73">
      <c r="A359" s="13"/>
      <c r="B359" s="13"/>
      <c r="C359" s="13"/>
      <c r="D359" s="13"/>
      <c r="E359" s="13"/>
      <c r="F359" s="13"/>
      <c r="G359" s="36"/>
      <c r="H359" s="36"/>
      <c r="I359" s="36"/>
      <c r="J359" s="36"/>
      <c r="K359" s="36"/>
      <c r="L359" s="36"/>
      <c r="M359" s="36"/>
      <c r="N359" s="13"/>
      <c r="O359" s="202"/>
      <c r="P359" s="36"/>
      <c r="Q359" s="52"/>
      <c r="R359" s="52"/>
      <c r="S359" s="52"/>
      <c r="U359" s="202"/>
      <c r="V359" s="202"/>
      <c r="W359" s="202"/>
      <c r="X359" s="202"/>
      <c r="Y359" s="13"/>
      <c r="Z359" s="36"/>
      <c r="AA359" s="13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289"/>
      <c r="AO359" s="289"/>
      <c r="AP359" s="289"/>
      <c r="AQ359" s="36"/>
      <c r="AR359" s="283"/>
      <c r="AS359" s="13"/>
      <c r="AT359" s="13"/>
      <c r="AU359" s="32"/>
      <c r="AV359" s="277"/>
      <c r="AW359" s="277"/>
      <c r="AX359" s="277"/>
      <c r="AY359" s="280"/>
      <c r="AZ359" s="268"/>
      <c r="BA359" s="268"/>
      <c r="BB359" s="13"/>
      <c r="BC359" s="36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</row>
    <row r="360" spans="1:73">
      <c r="A360" s="13"/>
      <c r="B360" s="13"/>
      <c r="C360" s="13"/>
      <c r="D360" s="13"/>
      <c r="E360" s="13"/>
      <c r="F360" s="13"/>
      <c r="G360" s="36"/>
      <c r="H360" s="36"/>
      <c r="I360" s="36"/>
      <c r="J360" s="36"/>
      <c r="K360" s="36"/>
      <c r="L360" s="36"/>
      <c r="M360" s="36"/>
      <c r="N360" s="13"/>
      <c r="O360" s="202"/>
      <c r="P360" s="36"/>
      <c r="Q360" s="52"/>
      <c r="R360" s="52"/>
      <c r="S360" s="52"/>
      <c r="U360" s="202"/>
      <c r="V360" s="202"/>
      <c r="W360" s="202"/>
      <c r="X360" s="202"/>
      <c r="Y360" s="13"/>
      <c r="Z360" s="36"/>
      <c r="AA360" s="13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289"/>
      <c r="AO360" s="289"/>
      <c r="AP360" s="289"/>
      <c r="AQ360" s="36"/>
      <c r="AR360" s="283"/>
      <c r="AS360" s="13"/>
      <c r="AT360" s="13"/>
      <c r="AU360" s="32"/>
      <c r="AV360" s="277"/>
      <c r="AW360" s="277"/>
      <c r="AX360" s="277"/>
      <c r="AY360" s="280"/>
      <c r="AZ360" s="268"/>
      <c r="BA360" s="268"/>
      <c r="BB360" s="13"/>
      <c r="BC360" s="36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</row>
    <row r="361" spans="1:73">
      <c r="A361" s="13"/>
      <c r="B361" s="13"/>
      <c r="C361" s="13"/>
      <c r="D361" s="13"/>
      <c r="E361" s="13"/>
      <c r="F361" s="13"/>
      <c r="G361" s="36"/>
      <c r="H361" s="36"/>
      <c r="I361" s="36"/>
      <c r="J361" s="36"/>
      <c r="K361" s="36"/>
      <c r="L361" s="36"/>
      <c r="M361" s="36"/>
      <c r="N361" s="13"/>
      <c r="O361" s="202"/>
      <c r="P361" s="36"/>
      <c r="Q361" s="52"/>
      <c r="R361" s="52"/>
      <c r="S361" s="52"/>
      <c r="U361" s="202"/>
      <c r="V361" s="202"/>
      <c r="W361" s="202"/>
      <c r="X361" s="202"/>
      <c r="Y361" s="13"/>
      <c r="Z361" s="36"/>
      <c r="AA361" s="13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289"/>
      <c r="AO361" s="289"/>
      <c r="AP361" s="289"/>
      <c r="AQ361" s="36"/>
      <c r="AR361" s="283"/>
      <c r="AS361" s="13"/>
      <c r="AT361" s="13"/>
      <c r="AU361" s="32"/>
      <c r="AV361" s="277"/>
      <c r="AW361" s="277"/>
      <c r="AX361" s="277"/>
      <c r="AY361" s="280"/>
      <c r="AZ361" s="268"/>
      <c r="BA361" s="268"/>
      <c r="BB361" s="13"/>
      <c r="BC361" s="36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</row>
    <row r="362" spans="1:73">
      <c r="A362" s="13"/>
      <c r="B362" s="13"/>
      <c r="C362" s="13"/>
      <c r="D362" s="13"/>
      <c r="E362" s="13"/>
      <c r="F362" s="13"/>
      <c r="G362" s="36"/>
      <c r="H362" s="36"/>
      <c r="I362" s="36"/>
      <c r="J362" s="36"/>
      <c r="K362" s="36"/>
      <c r="L362" s="36"/>
      <c r="M362" s="36"/>
      <c r="N362" s="13"/>
      <c r="O362" s="202"/>
      <c r="P362" s="36"/>
      <c r="Q362" s="52"/>
      <c r="R362" s="52"/>
      <c r="S362" s="52"/>
      <c r="U362" s="202"/>
      <c r="V362" s="202"/>
      <c r="W362" s="202"/>
      <c r="X362" s="202"/>
      <c r="Y362" s="13"/>
      <c r="Z362" s="36"/>
      <c r="AA362" s="13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289"/>
      <c r="AO362" s="289"/>
      <c r="AP362" s="289"/>
      <c r="AQ362" s="36"/>
      <c r="AR362" s="283"/>
      <c r="AS362" s="13"/>
      <c r="AT362" s="13"/>
      <c r="AU362" s="32"/>
      <c r="AV362" s="277"/>
      <c r="AW362" s="277"/>
      <c r="AX362" s="277"/>
      <c r="AY362" s="280"/>
      <c r="AZ362" s="268"/>
      <c r="BA362" s="268"/>
      <c r="BB362" s="13"/>
      <c r="BC362" s="36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</row>
    <row r="363" spans="1:73">
      <c r="A363" s="13"/>
      <c r="B363" s="13"/>
      <c r="C363" s="13"/>
      <c r="D363" s="13"/>
      <c r="E363" s="13"/>
      <c r="F363" s="13"/>
      <c r="G363" s="36"/>
      <c r="H363" s="36"/>
      <c r="I363" s="36"/>
      <c r="J363" s="36"/>
      <c r="K363" s="36"/>
      <c r="L363" s="36"/>
      <c r="M363" s="36"/>
      <c r="N363" s="13"/>
      <c r="O363" s="202"/>
      <c r="P363" s="36"/>
      <c r="Q363" s="52"/>
      <c r="R363" s="52"/>
      <c r="S363" s="52"/>
      <c r="U363" s="202"/>
      <c r="V363" s="202"/>
      <c r="W363" s="202"/>
      <c r="X363" s="202"/>
      <c r="Y363" s="13"/>
      <c r="Z363" s="36"/>
      <c r="AA363" s="13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289"/>
      <c r="AO363" s="289"/>
      <c r="AP363" s="289"/>
      <c r="AQ363" s="36"/>
      <c r="AR363" s="283"/>
      <c r="AS363" s="13"/>
      <c r="AT363" s="13"/>
      <c r="AU363" s="32"/>
      <c r="AV363" s="277"/>
      <c r="AW363" s="277"/>
      <c r="AX363" s="277"/>
      <c r="AY363" s="280"/>
      <c r="AZ363" s="268"/>
      <c r="BA363" s="268"/>
      <c r="BB363" s="13"/>
      <c r="BC363" s="36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</row>
    <row r="364" spans="1:73">
      <c r="A364" s="13"/>
      <c r="B364" s="13"/>
      <c r="C364" s="13"/>
      <c r="D364" s="13"/>
      <c r="E364" s="13"/>
      <c r="F364" s="13"/>
      <c r="G364" s="36"/>
      <c r="H364" s="36"/>
      <c r="I364" s="36"/>
      <c r="J364" s="36"/>
      <c r="K364" s="36"/>
      <c r="L364" s="36"/>
      <c r="M364" s="36"/>
      <c r="N364" s="13"/>
      <c r="O364" s="202"/>
      <c r="P364" s="36"/>
      <c r="Q364" s="52"/>
      <c r="R364" s="52"/>
      <c r="S364" s="52"/>
      <c r="U364" s="202"/>
      <c r="V364" s="202"/>
      <c r="W364" s="202"/>
      <c r="X364" s="202"/>
      <c r="Y364" s="13"/>
      <c r="Z364" s="36"/>
      <c r="AA364" s="13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289"/>
      <c r="AO364" s="289"/>
      <c r="AP364" s="289"/>
      <c r="AQ364" s="36"/>
      <c r="AR364" s="283"/>
      <c r="AS364" s="13"/>
      <c r="AT364" s="13"/>
      <c r="AU364" s="32"/>
      <c r="AV364" s="277"/>
      <c r="AW364" s="277"/>
      <c r="AX364" s="277"/>
      <c r="AY364" s="280"/>
      <c r="AZ364" s="268"/>
      <c r="BA364" s="268"/>
      <c r="BB364" s="13"/>
      <c r="BC364" s="36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</row>
    <row r="365" spans="1:73">
      <c r="A365" s="13"/>
      <c r="B365" s="13"/>
      <c r="C365" s="13"/>
      <c r="D365" s="13"/>
      <c r="E365" s="13"/>
      <c r="F365" s="13"/>
      <c r="G365" s="36"/>
      <c r="H365" s="36"/>
      <c r="I365" s="36"/>
      <c r="J365" s="36"/>
      <c r="K365" s="36"/>
      <c r="L365" s="36"/>
      <c r="M365" s="36"/>
      <c r="N365" s="13"/>
      <c r="O365" s="202"/>
      <c r="P365" s="36"/>
      <c r="Q365" s="52"/>
      <c r="R365" s="52"/>
      <c r="S365" s="52"/>
      <c r="U365" s="202"/>
      <c r="V365" s="202"/>
      <c r="W365" s="202"/>
      <c r="X365" s="202"/>
      <c r="Y365" s="13"/>
      <c r="Z365" s="36"/>
      <c r="AA365" s="13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289"/>
      <c r="AO365" s="289"/>
      <c r="AP365" s="289"/>
      <c r="AQ365" s="36"/>
      <c r="AR365" s="283"/>
      <c r="AS365" s="13"/>
      <c r="AT365" s="13"/>
      <c r="AU365" s="32"/>
      <c r="AV365" s="277"/>
      <c r="AW365" s="277"/>
      <c r="AX365" s="277"/>
      <c r="AY365" s="280"/>
      <c r="AZ365" s="268"/>
      <c r="BA365" s="268"/>
      <c r="BB365" s="13"/>
      <c r="BC365" s="36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</row>
    <row r="366" spans="1:73">
      <c r="A366" s="13"/>
      <c r="B366" s="13"/>
      <c r="C366" s="13"/>
      <c r="D366" s="13"/>
      <c r="E366" s="13"/>
      <c r="F366" s="13"/>
      <c r="G366" s="36"/>
      <c r="H366" s="36"/>
      <c r="I366" s="36"/>
      <c r="J366" s="36"/>
      <c r="K366" s="36"/>
      <c r="L366" s="36"/>
      <c r="M366" s="36"/>
      <c r="N366" s="13"/>
      <c r="O366" s="202"/>
      <c r="P366" s="36"/>
      <c r="Q366" s="52"/>
      <c r="R366" s="52"/>
      <c r="S366" s="52"/>
      <c r="U366" s="202"/>
      <c r="V366" s="202"/>
      <c r="W366" s="202"/>
      <c r="X366" s="202"/>
      <c r="Y366" s="13"/>
      <c r="Z366" s="36"/>
      <c r="AA366" s="13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289"/>
      <c r="AO366" s="289"/>
      <c r="AP366" s="289"/>
      <c r="AQ366" s="36"/>
      <c r="AR366" s="283"/>
      <c r="AS366" s="13"/>
      <c r="AT366" s="13"/>
      <c r="AU366" s="32"/>
      <c r="AV366" s="277"/>
      <c r="AW366" s="277"/>
      <c r="AX366" s="277"/>
      <c r="AY366" s="280"/>
      <c r="AZ366" s="268"/>
      <c r="BA366" s="268"/>
      <c r="BB366" s="13"/>
      <c r="BC366" s="36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</row>
    <row r="367" spans="1:73">
      <c r="A367" s="13"/>
      <c r="B367" s="13"/>
      <c r="C367" s="13"/>
      <c r="D367" s="13"/>
      <c r="E367" s="13"/>
      <c r="F367" s="13"/>
      <c r="G367" s="36"/>
      <c r="H367" s="36"/>
      <c r="I367" s="36"/>
      <c r="J367" s="36"/>
      <c r="K367" s="36"/>
      <c r="L367" s="36"/>
      <c r="M367" s="36"/>
      <c r="N367" s="13"/>
      <c r="O367" s="202"/>
      <c r="P367" s="36"/>
      <c r="Q367" s="52"/>
      <c r="R367" s="52"/>
      <c r="S367" s="52"/>
      <c r="U367" s="202"/>
      <c r="V367" s="202"/>
      <c r="W367" s="202"/>
      <c r="X367" s="202"/>
      <c r="Y367" s="13"/>
      <c r="Z367" s="36"/>
      <c r="AA367" s="13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289"/>
      <c r="AO367" s="289"/>
      <c r="AP367" s="289"/>
      <c r="AQ367" s="36"/>
      <c r="AR367" s="283"/>
      <c r="AS367" s="13"/>
      <c r="AT367" s="13"/>
      <c r="AU367" s="32"/>
      <c r="AV367" s="277"/>
      <c r="AW367" s="277"/>
      <c r="AX367" s="277"/>
      <c r="AY367" s="280"/>
      <c r="AZ367" s="268"/>
      <c r="BA367" s="268"/>
      <c r="BB367" s="13"/>
      <c r="BC367" s="36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</row>
    <row r="368" spans="1:73">
      <c r="A368" s="13"/>
      <c r="B368" s="13"/>
      <c r="C368" s="13"/>
      <c r="D368" s="13"/>
      <c r="E368" s="13"/>
      <c r="F368" s="13"/>
      <c r="G368" s="36"/>
      <c r="H368" s="36"/>
      <c r="I368" s="36"/>
      <c r="J368" s="36"/>
      <c r="K368" s="36"/>
      <c r="L368" s="36"/>
      <c r="M368" s="36"/>
      <c r="N368" s="13"/>
      <c r="O368" s="202"/>
      <c r="P368" s="36"/>
      <c r="Q368" s="52"/>
      <c r="R368" s="52"/>
      <c r="S368" s="52"/>
      <c r="U368" s="202"/>
      <c r="V368" s="202"/>
      <c r="W368" s="202"/>
      <c r="X368" s="202"/>
      <c r="Y368" s="13"/>
      <c r="Z368" s="36"/>
      <c r="AA368" s="13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289"/>
      <c r="AO368" s="289"/>
      <c r="AP368" s="289"/>
      <c r="AQ368" s="36"/>
      <c r="AR368" s="283"/>
      <c r="AS368" s="13"/>
      <c r="AT368" s="13"/>
      <c r="AU368" s="32"/>
      <c r="AV368" s="277"/>
      <c r="AW368" s="277"/>
      <c r="AX368" s="277"/>
      <c r="AY368" s="280"/>
      <c r="AZ368" s="268"/>
      <c r="BA368" s="268"/>
      <c r="BB368" s="13"/>
      <c r="BC368" s="36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</row>
    <row r="369" spans="1:73">
      <c r="A369" s="13"/>
      <c r="B369" s="13"/>
      <c r="C369" s="13"/>
      <c r="D369" s="13"/>
      <c r="E369" s="13"/>
      <c r="F369" s="13"/>
      <c r="G369" s="36"/>
      <c r="H369" s="36"/>
      <c r="I369" s="36"/>
      <c r="J369" s="36"/>
      <c r="K369" s="36"/>
      <c r="L369" s="36"/>
      <c r="M369" s="36"/>
      <c r="N369" s="13"/>
      <c r="O369" s="202"/>
      <c r="P369" s="36"/>
      <c r="Q369" s="52"/>
      <c r="R369" s="52"/>
      <c r="S369" s="52"/>
      <c r="U369" s="202"/>
      <c r="V369" s="202"/>
      <c r="W369" s="202"/>
      <c r="X369" s="202"/>
      <c r="Y369" s="13"/>
      <c r="Z369" s="36"/>
      <c r="AA369" s="13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289"/>
      <c r="AO369" s="289"/>
      <c r="AP369" s="289"/>
      <c r="AQ369" s="36"/>
      <c r="AR369" s="283"/>
      <c r="AS369" s="13"/>
      <c r="AT369" s="13"/>
      <c r="AU369" s="32"/>
      <c r="AV369" s="277"/>
      <c r="AW369" s="277"/>
      <c r="AX369" s="277"/>
      <c r="AY369" s="280"/>
      <c r="AZ369" s="268"/>
      <c r="BA369" s="268"/>
      <c r="BB369" s="13"/>
      <c r="BC369" s="36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</row>
    <row r="370" spans="1:73">
      <c r="A370" s="13"/>
      <c r="B370" s="13"/>
      <c r="C370" s="13"/>
      <c r="D370" s="13"/>
      <c r="E370" s="13"/>
      <c r="F370" s="13"/>
      <c r="G370" s="36"/>
      <c r="H370" s="36"/>
      <c r="I370" s="36"/>
      <c r="J370" s="36"/>
      <c r="K370" s="36"/>
      <c r="L370" s="36"/>
      <c r="M370" s="36"/>
      <c r="N370" s="13"/>
      <c r="O370" s="202"/>
      <c r="P370" s="36"/>
      <c r="Q370" s="52"/>
      <c r="R370" s="52"/>
      <c r="S370" s="52"/>
      <c r="U370" s="202"/>
      <c r="V370" s="202"/>
      <c r="W370" s="202"/>
      <c r="X370" s="202"/>
      <c r="Y370" s="13"/>
      <c r="Z370" s="36"/>
      <c r="AA370" s="13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289"/>
      <c r="AO370" s="289"/>
      <c r="AP370" s="289"/>
      <c r="AQ370" s="36"/>
      <c r="AR370" s="283"/>
      <c r="AS370" s="13"/>
      <c r="AT370" s="13"/>
      <c r="AU370" s="32"/>
      <c r="AV370" s="277"/>
      <c r="AW370" s="277"/>
      <c r="AX370" s="277"/>
      <c r="AY370" s="280"/>
      <c r="AZ370" s="268"/>
      <c r="BA370" s="268"/>
      <c r="BB370" s="13"/>
      <c r="BC370" s="36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</row>
    <row r="371" spans="1:73">
      <c r="A371" s="13"/>
      <c r="B371" s="13"/>
      <c r="C371" s="13"/>
      <c r="D371" s="13"/>
      <c r="E371" s="13"/>
      <c r="F371" s="13"/>
      <c r="G371" s="36"/>
      <c r="H371" s="36"/>
      <c r="I371" s="36"/>
      <c r="J371" s="36"/>
      <c r="K371" s="36"/>
      <c r="L371" s="36"/>
      <c r="M371" s="36"/>
      <c r="N371" s="13"/>
      <c r="O371" s="202"/>
      <c r="P371" s="36"/>
      <c r="Q371" s="52"/>
      <c r="R371" s="52"/>
      <c r="S371" s="52"/>
      <c r="U371" s="202"/>
      <c r="V371" s="202"/>
      <c r="W371" s="202"/>
      <c r="X371" s="202"/>
      <c r="Y371" s="13"/>
      <c r="Z371" s="36"/>
      <c r="AA371" s="13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289"/>
      <c r="AO371" s="289"/>
      <c r="AP371" s="289"/>
      <c r="AQ371" s="36"/>
      <c r="AR371" s="283"/>
      <c r="AS371" s="13"/>
      <c r="AT371" s="13"/>
      <c r="AU371" s="32"/>
      <c r="AV371" s="277"/>
      <c r="AW371" s="277"/>
      <c r="AX371" s="277"/>
      <c r="AY371" s="280"/>
      <c r="AZ371" s="268"/>
      <c r="BA371" s="268"/>
      <c r="BB371" s="13"/>
      <c r="BC371" s="36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</row>
    <row r="372" spans="1:73">
      <c r="A372" s="13"/>
      <c r="B372" s="13"/>
      <c r="C372" s="13"/>
      <c r="D372" s="13"/>
      <c r="E372" s="13"/>
      <c r="F372" s="13"/>
      <c r="G372" s="36"/>
      <c r="H372" s="36"/>
      <c r="I372" s="36"/>
      <c r="J372" s="36"/>
      <c r="K372" s="36"/>
      <c r="L372" s="36"/>
      <c r="M372" s="36"/>
      <c r="N372" s="13"/>
      <c r="O372" s="202"/>
      <c r="P372" s="36"/>
      <c r="Q372" s="52"/>
      <c r="R372" s="52"/>
      <c r="S372" s="52"/>
      <c r="U372" s="202"/>
      <c r="V372" s="202"/>
      <c r="W372" s="202"/>
      <c r="X372" s="202"/>
      <c r="Y372" s="13"/>
      <c r="Z372" s="36"/>
      <c r="AA372" s="13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289"/>
      <c r="AO372" s="289"/>
      <c r="AP372" s="289"/>
      <c r="AQ372" s="36"/>
      <c r="AR372" s="283"/>
      <c r="AS372" s="13"/>
      <c r="AT372" s="13"/>
      <c r="AU372" s="32"/>
      <c r="AV372" s="277"/>
      <c r="AW372" s="277"/>
      <c r="AX372" s="277"/>
      <c r="AY372" s="280"/>
      <c r="AZ372" s="268"/>
      <c r="BA372" s="268"/>
      <c r="BB372" s="13"/>
      <c r="BC372" s="36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</row>
    <row r="373" spans="1:73">
      <c r="A373" s="13"/>
      <c r="B373" s="13"/>
      <c r="C373" s="13"/>
      <c r="D373" s="13"/>
      <c r="E373" s="13"/>
      <c r="F373" s="13"/>
      <c r="G373" s="36"/>
      <c r="H373" s="36"/>
      <c r="I373" s="36"/>
      <c r="J373" s="36"/>
      <c r="K373" s="36"/>
      <c r="L373" s="36"/>
      <c r="M373" s="36"/>
      <c r="N373" s="13"/>
      <c r="O373" s="202"/>
      <c r="P373" s="36"/>
      <c r="Q373" s="52"/>
      <c r="R373" s="52"/>
      <c r="S373" s="52"/>
      <c r="U373" s="202"/>
      <c r="V373" s="202"/>
      <c r="W373" s="202"/>
      <c r="X373" s="202"/>
      <c r="Y373" s="13"/>
      <c r="Z373" s="36"/>
      <c r="AA373" s="13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289"/>
      <c r="AO373" s="289"/>
      <c r="AP373" s="289"/>
      <c r="AQ373" s="36"/>
      <c r="AR373" s="283"/>
      <c r="AS373" s="13"/>
      <c r="AT373" s="13"/>
      <c r="AU373" s="32"/>
      <c r="AV373" s="277"/>
      <c r="AW373" s="277"/>
      <c r="AX373" s="277"/>
      <c r="AY373" s="280"/>
      <c r="AZ373" s="268"/>
      <c r="BA373" s="268"/>
      <c r="BB373" s="13"/>
      <c r="BC373" s="36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</row>
    <row r="374" spans="1:73">
      <c r="A374" s="13"/>
      <c r="B374" s="13"/>
      <c r="C374" s="13"/>
      <c r="D374" s="13"/>
      <c r="E374" s="13"/>
      <c r="F374" s="13"/>
      <c r="G374" s="36"/>
      <c r="H374" s="36"/>
      <c r="I374" s="36"/>
      <c r="J374" s="36"/>
      <c r="K374" s="36"/>
      <c r="L374" s="36"/>
      <c r="M374" s="36"/>
      <c r="N374" s="13"/>
      <c r="O374" s="202"/>
      <c r="P374" s="36"/>
      <c r="Q374" s="52"/>
      <c r="R374" s="52"/>
      <c r="S374" s="52"/>
      <c r="U374" s="202"/>
      <c r="V374" s="202"/>
      <c r="W374" s="202"/>
      <c r="X374" s="202"/>
      <c r="Y374" s="13"/>
      <c r="Z374" s="36"/>
      <c r="AA374" s="13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289"/>
      <c r="AO374" s="289"/>
      <c r="AP374" s="289"/>
      <c r="AQ374" s="36"/>
      <c r="AR374" s="283"/>
      <c r="AS374" s="13"/>
      <c r="AT374" s="13"/>
      <c r="AU374" s="32"/>
      <c r="AV374" s="277"/>
      <c r="AW374" s="277"/>
      <c r="AX374" s="277"/>
      <c r="AY374" s="280"/>
      <c r="AZ374" s="268"/>
      <c r="BA374" s="268"/>
      <c r="BB374" s="13"/>
      <c r="BC374" s="36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</row>
    <row r="375" spans="1:73">
      <c r="A375" s="13"/>
      <c r="B375" s="13"/>
      <c r="C375" s="13"/>
      <c r="D375" s="13"/>
      <c r="E375" s="13"/>
      <c r="F375" s="13"/>
      <c r="G375" s="36"/>
      <c r="H375" s="36"/>
      <c r="I375" s="36"/>
      <c r="J375" s="36"/>
      <c r="K375" s="36"/>
      <c r="L375" s="36"/>
      <c r="M375" s="36"/>
      <c r="N375" s="13"/>
      <c r="O375" s="202"/>
      <c r="P375" s="36"/>
      <c r="Q375" s="52"/>
      <c r="R375" s="52"/>
      <c r="S375" s="52"/>
      <c r="U375" s="202"/>
      <c r="V375" s="202"/>
      <c r="W375" s="202"/>
      <c r="X375" s="202"/>
      <c r="Y375" s="13"/>
      <c r="Z375" s="36"/>
      <c r="AA375" s="13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289"/>
      <c r="AO375" s="289"/>
      <c r="AP375" s="289"/>
      <c r="AQ375" s="36"/>
      <c r="AR375" s="283"/>
      <c r="AS375" s="13"/>
      <c r="AT375" s="13"/>
      <c r="AU375" s="32"/>
      <c r="AV375" s="277"/>
      <c r="AW375" s="277"/>
      <c r="AX375" s="277"/>
      <c r="AY375" s="280"/>
      <c r="AZ375" s="268"/>
      <c r="BA375" s="268"/>
      <c r="BB375" s="13"/>
      <c r="BC375" s="36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</row>
    <row r="376" spans="1:73">
      <c r="A376" s="13"/>
      <c r="B376" s="13"/>
      <c r="C376" s="13"/>
      <c r="D376" s="13"/>
      <c r="E376" s="13"/>
      <c r="F376" s="13"/>
      <c r="G376" s="36"/>
      <c r="H376" s="36"/>
      <c r="I376" s="36"/>
      <c r="J376" s="36"/>
      <c r="K376" s="36"/>
      <c r="L376" s="36"/>
      <c r="M376" s="36"/>
      <c r="N376" s="13"/>
      <c r="O376" s="202"/>
      <c r="P376" s="36"/>
      <c r="Q376" s="52"/>
      <c r="R376" s="52"/>
      <c r="S376" s="52"/>
      <c r="U376" s="202"/>
      <c r="V376" s="202"/>
      <c r="W376" s="202"/>
      <c r="X376" s="202"/>
      <c r="Y376" s="13"/>
      <c r="Z376" s="36"/>
      <c r="AA376" s="13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289"/>
      <c r="AO376" s="289"/>
      <c r="AP376" s="289"/>
      <c r="AQ376" s="36"/>
      <c r="AR376" s="283"/>
      <c r="AS376" s="13"/>
      <c r="AT376" s="13"/>
      <c r="AU376" s="32"/>
      <c r="AV376" s="277"/>
      <c r="AW376" s="277"/>
      <c r="AX376" s="277"/>
      <c r="AY376" s="280"/>
      <c r="AZ376" s="268"/>
      <c r="BA376" s="268"/>
      <c r="BB376" s="13"/>
      <c r="BC376" s="36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</row>
    <row r="377" spans="1:73">
      <c r="A377" s="13"/>
      <c r="B377" s="13"/>
      <c r="C377" s="13"/>
      <c r="D377" s="13"/>
      <c r="E377" s="13"/>
      <c r="F377" s="13"/>
      <c r="G377" s="36"/>
      <c r="H377" s="36"/>
      <c r="I377" s="36"/>
      <c r="J377" s="36"/>
      <c r="K377" s="36"/>
      <c r="L377" s="36"/>
      <c r="M377" s="36"/>
      <c r="N377" s="13"/>
      <c r="O377" s="202"/>
      <c r="P377" s="36"/>
      <c r="Q377" s="52"/>
      <c r="R377" s="52"/>
      <c r="S377" s="52"/>
      <c r="U377" s="202"/>
      <c r="V377" s="202"/>
      <c r="W377" s="202"/>
      <c r="X377" s="202"/>
      <c r="Y377" s="13"/>
      <c r="Z377" s="36"/>
      <c r="AA377" s="13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289"/>
      <c r="AO377" s="289"/>
      <c r="AP377" s="289"/>
      <c r="AQ377" s="36"/>
      <c r="AR377" s="283"/>
      <c r="AS377" s="13"/>
      <c r="AT377" s="13"/>
      <c r="AU377" s="32"/>
      <c r="AV377" s="277"/>
      <c r="AW377" s="277"/>
      <c r="AX377" s="277"/>
      <c r="AY377" s="280"/>
      <c r="AZ377" s="268"/>
      <c r="BA377" s="268"/>
      <c r="BB377" s="13"/>
      <c r="BC377" s="36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</row>
    <row r="378" spans="1:73">
      <c r="A378" s="13"/>
      <c r="B378" s="13"/>
      <c r="C378" s="13"/>
      <c r="D378" s="13"/>
      <c r="E378" s="13"/>
      <c r="F378" s="13"/>
      <c r="G378" s="36"/>
      <c r="H378" s="36"/>
      <c r="I378" s="36"/>
      <c r="J378" s="36"/>
      <c r="K378" s="36"/>
      <c r="L378" s="36"/>
      <c r="M378" s="36"/>
      <c r="N378" s="13"/>
      <c r="O378" s="202"/>
      <c r="P378" s="36"/>
      <c r="Q378" s="52"/>
      <c r="R378" s="52"/>
      <c r="S378" s="52"/>
      <c r="U378" s="202"/>
      <c r="V378" s="202"/>
      <c r="W378" s="202"/>
      <c r="X378" s="202"/>
      <c r="Y378" s="13"/>
      <c r="Z378" s="36"/>
      <c r="AA378" s="13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289"/>
      <c r="AO378" s="289"/>
      <c r="AP378" s="289"/>
      <c r="AQ378" s="36"/>
      <c r="AR378" s="283"/>
      <c r="AS378" s="13"/>
      <c r="AT378" s="13"/>
      <c r="AU378" s="32"/>
      <c r="AV378" s="277"/>
      <c r="AW378" s="277"/>
      <c r="AX378" s="277"/>
      <c r="AY378" s="280"/>
      <c r="AZ378" s="268"/>
      <c r="BA378" s="268"/>
      <c r="BB378" s="13"/>
      <c r="BC378" s="36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</row>
    <row r="379" spans="1:73">
      <c r="A379" s="13"/>
      <c r="B379" s="13"/>
      <c r="C379" s="13"/>
      <c r="D379" s="13"/>
      <c r="E379" s="13"/>
      <c r="F379" s="13"/>
      <c r="G379" s="36"/>
      <c r="H379" s="36"/>
      <c r="I379" s="36"/>
      <c r="J379" s="36"/>
      <c r="K379" s="36"/>
      <c r="L379" s="36"/>
      <c r="M379" s="36"/>
      <c r="N379" s="13"/>
      <c r="O379" s="202"/>
      <c r="P379" s="36"/>
      <c r="Q379" s="52"/>
      <c r="R379" s="52"/>
      <c r="S379" s="52"/>
      <c r="U379" s="202"/>
      <c r="V379" s="202"/>
      <c r="W379" s="202"/>
      <c r="X379" s="202"/>
      <c r="Y379" s="13"/>
      <c r="Z379" s="36"/>
      <c r="AA379" s="13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289"/>
      <c r="AO379" s="289"/>
      <c r="AP379" s="289"/>
      <c r="AQ379" s="36"/>
      <c r="AR379" s="283"/>
      <c r="AS379" s="13"/>
      <c r="AT379" s="13"/>
      <c r="AU379" s="32"/>
      <c r="AV379" s="277"/>
      <c r="AW379" s="277"/>
      <c r="AX379" s="277"/>
      <c r="AY379" s="280"/>
      <c r="AZ379" s="268"/>
      <c r="BA379" s="268"/>
      <c r="BB379" s="13"/>
      <c r="BC379" s="36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</row>
    <row r="380" spans="1:73">
      <c r="A380" s="13"/>
      <c r="B380" s="13"/>
      <c r="C380" s="13"/>
      <c r="D380" s="13"/>
      <c r="E380" s="13"/>
      <c r="F380" s="13"/>
      <c r="G380" s="36"/>
      <c r="H380" s="36"/>
      <c r="I380" s="36"/>
      <c r="J380" s="36"/>
      <c r="K380" s="36"/>
      <c r="L380" s="36"/>
      <c r="M380" s="36"/>
      <c r="N380" s="13"/>
      <c r="O380" s="202"/>
      <c r="P380" s="36"/>
      <c r="Q380" s="52"/>
      <c r="R380" s="52"/>
      <c r="S380" s="52"/>
      <c r="U380" s="202"/>
      <c r="V380" s="202"/>
      <c r="W380" s="202"/>
      <c r="X380" s="202"/>
      <c r="Y380" s="13"/>
      <c r="Z380" s="36"/>
      <c r="AA380" s="13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289"/>
      <c r="AO380" s="289"/>
      <c r="AP380" s="289"/>
      <c r="AQ380" s="36"/>
      <c r="AR380" s="283"/>
      <c r="AS380" s="13"/>
      <c r="AT380" s="13"/>
      <c r="AU380" s="32"/>
      <c r="AV380" s="277"/>
      <c r="AW380" s="277"/>
      <c r="AX380" s="277"/>
      <c r="AY380" s="280"/>
      <c r="AZ380" s="268"/>
      <c r="BA380" s="268"/>
      <c r="BB380" s="13"/>
      <c r="BC380" s="36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</row>
    <row r="381" spans="1:73">
      <c r="A381" s="13"/>
      <c r="B381" s="13"/>
      <c r="C381" s="13"/>
      <c r="D381" s="13"/>
      <c r="E381" s="13"/>
      <c r="F381" s="13"/>
      <c r="G381" s="36"/>
      <c r="H381" s="36"/>
      <c r="I381" s="36"/>
      <c r="J381" s="36"/>
      <c r="K381" s="36"/>
      <c r="L381" s="36"/>
      <c r="M381" s="36"/>
      <c r="N381" s="13"/>
      <c r="O381" s="202"/>
      <c r="P381" s="36"/>
      <c r="Q381" s="52"/>
      <c r="R381" s="52"/>
      <c r="S381" s="52"/>
      <c r="U381" s="202"/>
      <c r="V381" s="202"/>
      <c r="W381" s="202"/>
      <c r="X381" s="202"/>
      <c r="Y381" s="13"/>
      <c r="Z381" s="36"/>
      <c r="AA381" s="13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289"/>
      <c r="AO381" s="289"/>
      <c r="AP381" s="289"/>
      <c r="AQ381" s="36"/>
      <c r="AR381" s="283"/>
      <c r="AS381" s="13"/>
      <c r="AT381" s="13"/>
      <c r="AU381" s="32"/>
      <c r="AV381" s="277"/>
      <c r="AW381" s="277"/>
      <c r="AX381" s="277"/>
      <c r="AY381" s="280"/>
      <c r="AZ381" s="268"/>
      <c r="BA381" s="268"/>
      <c r="BB381" s="13"/>
      <c r="BC381" s="36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</row>
    <row r="382" spans="1:73">
      <c r="A382" s="13"/>
      <c r="B382" s="13"/>
      <c r="C382" s="13"/>
      <c r="D382" s="13"/>
      <c r="E382" s="13"/>
      <c r="F382" s="13"/>
      <c r="G382" s="36"/>
      <c r="H382" s="36"/>
      <c r="I382" s="36"/>
      <c r="J382" s="36"/>
      <c r="K382" s="36"/>
      <c r="L382" s="36"/>
      <c r="M382" s="36"/>
      <c r="N382" s="13"/>
      <c r="O382" s="202"/>
      <c r="P382" s="36"/>
      <c r="Q382" s="52"/>
      <c r="R382" s="52"/>
      <c r="S382" s="52"/>
      <c r="U382" s="202"/>
      <c r="V382" s="202"/>
      <c r="W382" s="202"/>
      <c r="X382" s="202"/>
      <c r="Y382" s="13"/>
      <c r="Z382" s="36"/>
      <c r="AA382" s="13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289"/>
      <c r="AO382" s="289"/>
      <c r="AP382" s="289"/>
      <c r="AQ382" s="36"/>
      <c r="AR382" s="283"/>
      <c r="AS382" s="13"/>
      <c r="AT382" s="13"/>
      <c r="AU382" s="32"/>
      <c r="AV382" s="277"/>
      <c r="AW382" s="277"/>
      <c r="AX382" s="277"/>
      <c r="AY382" s="280"/>
      <c r="AZ382" s="268"/>
      <c r="BA382" s="268"/>
      <c r="BB382" s="13"/>
      <c r="BC382" s="36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</row>
    <row r="383" spans="1:73">
      <c r="A383" s="13"/>
      <c r="B383" s="13"/>
      <c r="C383" s="13"/>
      <c r="D383" s="13"/>
      <c r="E383" s="13"/>
      <c r="F383" s="13"/>
      <c r="G383" s="36"/>
      <c r="H383" s="36"/>
      <c r="I383" s="36"/>
      <c r="J383" s="36"/>
      <c r="K383" s="36"/>
      <c r="L383" s="36"/>
      <c r="M383" s="36"/>
      <c r="N383" s="13"/>
      <c r="O383" s="202"/>
      <c r="P383" s="36"/>
      <c r="Q383" s="52"/>
      <c r="R383" s="52"/>
      <c r="S383" s="52"/>
      <c r="U383" s="202"/>
      <c r="V383" s="202"/>
      <c r="W383" s="202"/>
      <c r="X383" s="202"/>
      <c r="Y383" s="13"/>
      <c r="Z383" s="36"/>
      <c r="AA383" s="13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289"/>
      <c r="AO383" s="289"/>
      <c r="AP383" s="289"/>
      <c r="AQ383" s="36"/>
      <c r="AR383" s="283"/>
      <c r="AS383" s="13"/>
      <c r="AT383" s="13"/>
      <c r="AU383" s="32"/>
      <c r="AV383" s="277"/>
      <c r="AW383" s="277"/>
      <c r="AX383" s="277"/>
      <c r="AY383" s="280"/>
      <c r="AZ383" s="268"/>
      <c r="BA383" s="268"/>
      <c r="BB383" s="13"/>
      <c r="BC383" s="36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</row>
    <row r="384" spans="1:73">
      <c r="A384" s="13"/>
      <c r="B384" s="13"/>
      <c r="C384" s="13"/>
      <c r="D384" s="13"/>
      <c r="E384" s="13"/>
      <c r="F384" s="13"/>
      <c r="G384" s="36"/>
      <c r="H384" s="36"/>
      <c r="I384" s="36"/>
      <c r="J384" s="36"/>
      <c r="K384" s="36"/>
      <c r="L384" s="36"/>
      <c r="M384" s="36"/>
      <c r="N384" s="13"/>
      <c r="O384" s="202"/>
      <c r="P384" s="36"/>
      <c r="Q384" s="52"/>
      <c r="R384" s="52"/>
      <c r="S384" s="52"/>
      <c r="U384" s="202"/>
      <c r="V384" s="202"/>
      <c r="W384" s="202"/>
      <c r="X384" s="202"/>
      <c r="Y384" s="13"/>
      <c r="Z384" s="36"/>
      <c r="AA384" s="13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289"/>
      <c r="AO384" s="289"/>
      <c r="AP384" s="289"/>
      <c r="AQ384" s="36"/>
      <c r="AR384" s="283"/>
      <c r="AS384" s="13"/>
      <c r="AT384" s="13"/>
      <c r="AU384" s="32"/>
      <c r="AV384" s="277"/>
      <c r="AW384" s="277"/>
      <c r="AX384" s="277"/>
      <c r="AY384" s="280"/>
      <c r="AZ384" s="268"/>
      <c r="BA384" s="268"/>
      <c r="BB384" s="13"/>
      <c r="BC384" s="36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</row>
    <row r="385" spans="1:73">
      <c r="A385" s="13"/>
      <c r="B385" s="13"/>
      <c r="C385" s="13"/>
      <c r="D385" s="13"/>
      <c r="E385" s="13"/>
      <c r="F385" s="13"/>
      <c r="G385" s="36"/>
      <c r="H385" s="36"/>
      <c r="I385" s="36"/>
      <c r="J385" s="36"/>
      <c r="K385" s="36"/>
      <c r="L385" s="36"/>
      <c r="M385" s="36"/>
      <c r="N385" s="13"/>
      <c r="O385" s="202"/>
      <c r="P385" s="36"/>
      <c r="Q385" s="52"/>
      <c r="R385" s="52"/>
      <c r="S385" s="52"/>
      <c r="U385" s="202"/>
      <c r="V385" s="202"/>
      <c r="W385" s="202"/>
      <c r="X385" s="202"/>
      <c r="Y385" s="13"/>
      <c r="Z385" s="36"/>
      <c r="AA385" s="13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289"/>
      <c r="AO385" s="289"/>
      <c r="AP385" s="289"/>
      <c r="AQ385" s="36"/>
      <c r="AR385" s="283"/>
      <c r="AS385" s="13"/>
      <c r="AT385" s="13"/>
      <c r="AU385" s="32"/>
      <c r="AV385" s="277"/>
      <c r="AW385" s="277"/>
      <c r="AX385" s="277"/>
      <c r="AY385" s="280"/>
      <c r="AZ385" s="268"/>
      <c r="BA385" s="268"/>
      <c r="BB385" s="13"/>
      <c r="BC385" s="36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</row>
    <row r="386" spans="1:73">
      <c r="A386" s="13"/>
      <c r="B386" s="13"/>
      <c r="C386" s="13"/>
      <c r="D386" s="13"/>
      <c r="E386" s="13"/>
      <c r="F386" s="13"/>
      <c r="G386" s="36"/>
      <c r="H386" s="36"/>
      <c r="I386" s="36"/>
      <c r="J386" s="36"/>
      <c r="K386" s="36"/>
      <c r="L386" s="36"/>
      <c r="M386" s="36"/>
      <c r="N386" s="13"/>
      <c r="O386" s="202"/>
      <c r="P386" s="36"/>
      <c r="Q386" s="52"/>
      <c r="R386" s="52"/>
      <c r="S386" s="52"/>
      <c r="U386" s="202"/>
      <c r="V386" s="202"/>
      <c r="W386" s="202"/>
      <c r="X386" s="202"/>
      <c r="Y386" s="13"/>
      <c r="Z386" s="36"/>
      <c r="AA386" s="13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289"/>
      <c r="AO386" s="289"/>
      <c r="AP386" s="289"/>
      <c r="AQ386" s="36"/>
      <c r="AR386" s="283"/>
      <c r="AS386" s="13"/>
      <c r="AT386" s="13"/>
      <c r="AU386" s="32"/>
      <c r="AV386" s="277"/>
      <c r="AW386" s="277"/>
      <c r="AX386" s="277"/>
      <c r="AY386" s="280"/>
      <c r="AZ386" s="268"/>
      <c r="BA386" s="268"/>
      <c r="BB386" s="13"/>
      <c r="BC386" s="36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</row>
    <row r="387" spans="1:73">
      <c r="A387" s="13"/>
      <c r="B387" s="13"/>
      <c r="C387" s="13"/>
      <c r="D387" s="13"/>
      <c r="E387" s="13"/>
      <c r="F387" s="13"/>
      <c r="G387" s="36"/>
      <c r="H387" s="36"/>
      <c r="I387" s="36"/>
      <c r="J387" s="36"/>
      <c r="K387" s="36"/>
      <c r="L387" s="36"/>
      <c r="M387" s="36"/>
      <c r="N387" s="13"/>
      <c r="O387" s="202"/>
      <c r="P387" s="36"/>
      <c r="Q387" s="52"/>
      <c r="R387" s="52"/>
      <c r="S387" s="52"/>
      <c r="U387" s="202"/>
      <c r="V387" s="202"/>
      <c r="W387" s="202"/>
      <c r="X387" s="202"/>
      <c r="Y387" s="13"/>
      <c r="Z387" s="36"/>
      <c r="AA387" s="13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289"/>
      <c r="AO387" s="289"/>
      <c r="AP387" s="289"/>
      <c r="AQ387" s="36"/>
      <c r="AR387" s="283"/>
      <c r="AS387" s="13"/>
      <c r="AT387" s="13"/>
      <c r="AU387" s="32"/>
      <c r="AV387" s="277"/>
      <c r="AW387" s="277"/>
      <c r="AX387" s="277"/>
      <c r="AY387" s="280"/>
      <c r="AZ387" s="268"/>
      <c r="BA387" s="268"/>
      <c r="BB387" s="13"/>
      <c r="BC387" s="36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</row>
    <row r="388" spans="1:73">
      <c r="A388" s="13"/>
      <c r="B388" s="13"/>
      <c r="C388" s="13"/>
      <c r="D388" s="13"/>
      <c r="E388" s="13"/>
      <c r="F388" s="13"/>
      <c r="G388" s="36"/>
      <c r="H388" s="36"/>
      <c r="I388" s="36"/>
      <c r="J388" s="36"/>
      <c r="K388" s="36"/>
      <c r="L388" s="36"/>
      <c r="M388" s="36"/>
      <c r="N388" s="13"/>
      <c r="O388" s="202"/>
      <c r="P388" s="36"/>
      <c r="Q388" s="52"/>
      <c r="R388" s="52"/>
      <c r="S388" s="52"/>
      <c r="U388" s="202"/>
      <c r="V388" s="202"/>
      <c r="W388" s="202"/>
      <c r="X388" s="202"/>
      <c r="Y388" s="13"/>
      <c r="Z388" s="36"/>
      <c r="AA388" s="13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289"/>
      <c r="AO388" s="289"/>
      <c r="AP388" s="289"/>
      <c r="AQ388" s="36"/>
      <c r="AR388" s="283"/>
      <c r="AS388" s="13"/>
      <c r="AT388" s="13"/>
      <c r="AU388" s="32"/>
      <c r="AV388" s="277"/>
      <c r="AW388" s="277"/>
      <c r="AX388" s="277"/>
      <c r="AY388" s="280"/>
      <c r="AZ388" s="268"/>
      <c r="BA388" s="268"/>
      <c r="BB388" s="13"/>
      <c r="BC388" s="36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</row>
    <row r="389" spans="1:73">
      <c r="A389" s="13"/>
      <c r="B389" s="13"/>
      <c r="C389" s="13"/>
      <c r="D389" s="13"/>
      <c r="E389" s="13"/>
      <c r="F389" s="13"/>
      <c r="G389" s="36"/>
      <c r="H389" s="36"/>
      <c r="I389" s="36"/>
      <c r="J389" s="36"/>
      <c r="K389" s="36"/>
      <c r="L389" s="36"/>
      <c r="M389" s="36"/>
      <c r="N389" s="13"/>
      <c r="O389" s="202"/>
      <c r="P389" s="36"/>
      <c r="Q389" s="52"/>
      <c r="R389" s="52"/>
      <c r="S389" s="52"/>
      <c r="U389" s="202"/>
      <c r="V389" s="202"/>
      <c r="W389" s="202"/>
      <c r="X389" s="202"/>
      <c r="Y389" s="13"/>
      <c r="Z389" s="36"/>
      <c r="AA389" s="13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289"/>
      <c r="AO389" s="289"/>
      <c r="AP389" s="289"/>
      <c r="AQ389" s="36"/>
      <c r="AR389" s="283"/>
      <c r="AS389" s="13"/>
      <c r="AT389" s="13"/>
      <c r="AU389" s="32"/>
      <c r="AV389" s="277"/>
      <c r="AW389" s="277"/>
      <c r="AX389" s="277"/>
      <c r="AY389" s="280"/>
      <c r="AZ389" s="268"/>
      <c r="BA389" s="268"/>
      <c r="BB389" s="13"/>
      <c r="BC389" s="36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</row>
    <row r="390" spans="1:73">
      <c r="A390" s="13"/>
      <c r="B390" s="13"/>
      <c r="C390" s="13"/>
      <c r="D390" s="13"/>
      <c r="E390" s="13"/>
      <c r="F390" s="13"/>
      <c r="G390" s="36"/>
      <c r="H390" s="36"/>
      <c r="I390" s="36"/>
      <c r="J390" s="36"/>
      <c r="K390" s="36"/>
      <c r="L390" s="36"/>
      <c r="M390" s="36"/>
      <c r="N390" s="13"/>
      <c r="O390" s="202"/>
      <c r="P390" s="36"/>
      <c r="Q390" s="52"/>
      <c r="R390" s="52"/>
      <c r="S390" s="52"/>
      <c r="U390" s="202"/>
      <c r="V390" s="202"/>
      <c r="W390" s="202"/>
      <c r="X390" s="202"/>
      <c r="Y390" s="13"/>
      <c r="Z390" s="36"/>
      <c r="AA390" s="13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289"/>
      <c r="AO390" s="289"/>
      <c r="AP390" s="289"/>
      <c r="AQ390" s="36"/>
      <c r="AR390" s="283"/>
      <c r="AS390" s="13"/>
      <c r="AT390" s="13"/>
      <c r="AU390" s="32"/>
      <c r="AV390" s="277"/>
      <c r="AW390" s="277"/>
      <c r="AX390" s="277"/>
      <c r="AY390" s="280"/>
      <c r="AZ390" s="268"/>
      <c r="BA390" s="268"/>
      <c r="BB390" s="13"/>
      <c r="BC390" s="36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</row>
    <row r="391" spans="1:73">
      <c r="A391" s="13"/>
      <c r="B391" s="13"/>
      <c r="C391" s="13"/>
      <c r="D391" s="13"/>
      <c r="E391" s="13"/>
      <c r="F391" s="13"/>
      <c r="G391" s="36"/>
      <c r="H391" s="36"/>
      <c r="I391" s="36"/>
      <c r="J391" s="36"/>
      <c r="K391" s="36"/>
      <c r="L391" s="36"/>
      <c r="M391" s="36"/>
      <c r="N391" s="13"/>
      <c r="O391" s="202"/>
      <c r="P391" s="36"/>
      <c r="Q391" s="52"/>
      <c r="R391" s="52"/>
      <c r="S391" s="52"/>
      <c r="U391" s="202"/>
      <c r="V391" s="202"/>
      <c r="W391" s="202"/>
      <c r="X391" s="202"/>
      <c r="Y391" s="13"/>
      <c r="Z391" s="36"/>
      <c r="AA391" s="13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289"/>
      <c r="AO391" s="289"/>
      <c r="AP391" s="289"/>
      <c r="AQ391" s="36"/>
      <c r="AR391" s="283"/>
      <c r="AS391" s="13"/>
      <c r="AT391" s="13"/>
      <c r="AU391" s="32"/>
      <c r="AV391" s="277"/>
      <c r="AW391" s="277"/>
      <c r="AX391" s="277"/>
      <c r="AY391" s="280"/>
      <c r="AZ391" s="268"/>
      <c r="BA391" s="268"/>
      <c r="BB391" s="13"/>
      <c r="BC391" s="36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</row>
    <row r="392" spans="1:73">
      <c r="A392" s="13"/>
      <c r="B392" s="13"/>
      <c r="C392" s="13"/>
      <c r="D392" s="13"/>
      <c r="E392" s="13"/>
      <c r="F392" s="13"/>
      <c r="G392" s="36"/>
      <c r="H392" s="36"/>
      <c r="I392" s="36"/>
      <c r="J392" s="36"/>
      <c r="K392" s="36"/>
      <c r="L392" s="36"/>
      <c r="M392" s="36"/>
      <c r="N392" s="13"/>
      <c r="O392" s="202"/>
      <c r="P392" s="36"/>
      <c r="Q392" s="52"/>
      <c r="R392" s="52"/>
      <c r="S392" s="52"/>
      <c r="U392" s="202"/>
      <c r="V392" s="202"/>
      <c r="W392" s="202"/>
      <c r="X392" s="202"/>
      <c r="Y392" s="13"/>
      <c r="Z392" s="36"/>
      <c r="AA392" s="13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289"/>
      <c r="AO392" s="289"/>
      <c r="AP392" s="289"/>
      <c r="AQ392" s="36"/>
      <c r="AR392" s="283"/>
      <c r="AS392" s="13"/>
      <c r="AT392" s="13"/>
      <c r="AU392" s="32"/>
      <c r="AV392" s="277"/>
      <c r="AW392" s="277"/>
      <c r="AX392" s="277"/>
      <c r="AY392" s="280"/>
      <c r="AZ392" s="268"/>
      <c r="BA392" s="268"/>
      <c r="BB392" s="13"/>
      <c r="BC392" s="36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</row>
    <row r="393" spans="1:73">
      <c r="A393" s="13"/>
      <c r="B393" s="13"/>
      <c r="C393" s="13"/>
      <c r="D393" s="13"/>
      <c r="E393" s="13"/>
      <c r="F393" s="13"/>
      <c r="G393" s="36"/>
      <c r="H393" s="36"/>
      <c r="I393" s="36"/>
      <c r="J393" s="36"/>
      <c r="K393" s="36"/>
      <c r="L393" s="36"/>
      <c r="M393" s="36"/>
      <c r="N393" s="13"/>
      <c r="O393" s="202"/>
      <c r="P393" s="36"/>
      <c r="Q393" s="52"/>
      <c r="R393" s="52"/>
      <c r="S393" s="52"/>
      <c r="U393" s="202"/>
      <c r="V393" s="202"/>
      <c r="W393" s="202"/>
      <c r="X393" s="202"/>
      <c r="Y393" s="13"/>
      <c r="Z393" s="36"/>
      <c r="AA393" s="13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289"/>
      <c r="AO393" s="289"/>
      <c r="AP393" s="289"/>
      <c r="AQ393" s="36"/>
      <c r="AR393" s="283"/>
      <c r="AS393" s="13"/>
      <c r="AT393" s="13"/>
      <c r="AU393" s="32"/>
      <c r="AV393" s="277"/>
      <c r="AW393" s="277"/>
      <c r="AX393" s="277"/>
      <c r="AY393" s="280"/>
      <c r="AZ393" s="268"/>
      <c r="BA393" s="268"/>
      <c r="BB393" s="13"/>
      <c r="BC393" s="36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</row>
    <row r="394" spans="1:73">
      <c r="A394" s="13"/>
      <c r="B394" s="13"/>
      <c r="C394" s="13"/>
      <c r="D394" s="13"/>
      <c r="E394" s="13"/>
      <c r="F394" s="13"/>
      <c r="G394" s="36"/>
      <c r="H394" s="36"/>
      <c r="I394" s="36"/>
      <c r="J394" s="36"/>
      <c r="K394" s="36"/>
      <c r="L394" s="36"/>
      <c r="M394" s="36"/>
      <c r="N394" s="13"/>
      <c r="O394" s="202"/>
      <c r="P394" s="36"/>
      <c r="Q394" s="52"/>
      <c r="R394" s="52"/>
      <c r="S394" s="52"/>
      <c r="U394" s="202"/>
      <c r="V394" s="202"/>
      <c r="W394" s="202"/>
      <c r="X394" s="202"/>
      <c r="Y394" s="13"/>
      <c r="Z394" s="36"/>
      <c r="AA394" s="13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289"/>
      <c r="AO394" s="289"/>
      <c r="AP394" s="289"/>
      <c r="AQ394" s="36"/>
      <c r="AR394" s="283"/>
      <c r="AS394" s="13"/>
      <c r="AT394" s="13"/>
      <c r="AU394" s="32"/>
      <c r="AV394" s="277"/>
      <c r="AW394" s="277"/>
      <c r="AX394" s="277"/>
      <c r="AY394" s="280"/>
      <c r="AZ394" s="268"/>
      <c r="BA394" s="268"/>
      <c r="BB394" s="13"/>
      <c r="BC394" s="36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</row>
    <row r="395" spans="1:73">
      <c r="A395" s="13"/>
      <c r="B395" s="13"/>
      <c r="C395" s="13"/>
      <c r="D395" s="13"/>
      <c r="E395" s="13"/>
      <c r="F395" s="13"/>
      <c r="G395" s="36"/>
      <c r="H395" s="36"/>
      <c r="I395" s="36"/>
      <c r="J395" s="36"/>
      <c r="K395" s="36"/>
      <c r="L395" s="36"/>
      <c r="M395" s="36"/>
      <c r="N395" s="13"/>
      <c r="O395" s="202"/>
      <c r="P395" s="36"/>
      <c r="Q395" s="52"/>
      <c r="R395" s="52"/>
      <c r="S395" s="52"/>
      <c r="U395" s="202"/>
      <c r="V395" s="202"/>
      <c r="W395" s="202"/>
      <c r="X395" s="202"/>
      <c r="Y395" s="13"/>
      <c r="Z395" s="36"/>
      <c r="AA395" s="13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289"/>
      <c r="AO395" s="289"/>
      <c r="AP395" s="289"/>
      <c r="AQ395" s="36"/>
      <c r="AR395" s="283"/>
      <c r="AS395" s="13"/>
      <c r="AT395" s="13"/>
      <c r="AU395" s="32"/>
      <c r="AV395" s="277"/>
      <c r="AW395" s="277"/>
      <c r="AX395" s="277"/>
      <c r="AY395" s="280"/>
      <c r="AZ395" s="268"/>
      <c r="BA395" s="268"/>
      <c r="BB395" s="13"/>
      <c r="BC395" s="36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</row>
    <row r="396" spans="1:73">
      <c r="A396" s="13"/>
      <c r="B396" s="13"/>
      <c r="C396" s="13"/>
      <c r="D396" s="13"/>
      <c r="E396" s="13"/>
      <c r="F396" s="13"/>
      <c r="G396" s="36"/>
      <c r="H396" s="36"/>
      <c r="I396" s="36"/>
      <c r="J396" s="36"/>
      <c r="K396" s="36"/>
      <c r="L396" s="36"/>
      <c r="M396" s="36"/>
      <c r="N396" s="13"/>
      <c r="O396" s="202"/>
      <c r="P396" s="36"/>
      <c r="Q396" s="52"/>
      <c r="R396" s="52"/>
      <c r="S396" s="52"/>
      <c r="U396" s="202"/>
      <c r="V396" s="202"/>
      <c r="W396" s="202"/>
      <c r="X396" s="202"/>
      <c r="Y396" s="13"/>
      <c r="Z396" s="36"/>
      <c r="AA396" s="13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289"/>
      <c r="AO396" s="289"/>
      <c r="AP396" s="289"/>
      <c r="AQ396" s="36"/>
      <c r="AR396" s="283"/>
      <c r="AS396" s="13"/>
      <c r="AT396" s="13"/>
      <c r="AU396" s="32"/>
      <c r="AV396" s="277"/>
      <c r="AW396" s="277"/>
      <c r="AX396" s="277"/>
      <c r="AY396" s="280"/>
      <c r="AZ396" s="268"/>
      <c r="BA396" s="268"/>
      <c r="BB396" s="13"/>
      <c r="BC396" s="36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</row>
    <row r="397" spans="1:73">
      <c r="A397" s="13"/>
      <c r="B397" s="13"/>
      <c r="C397" s="13"/>
      <c r="D397" s="13"/>
      <c r="E397" s="13"/>
      <c r="F397" s="13"/>
      <c r="G397" s="36"/>
      <c r="H397" s="36"/>
      <c r="I397" s="36"/>
      <c r="J397" s="36"/>
      <c r="K397" s="36"/>
      <c r="L397" s="36"/>
      <c r="M397" s="36"/>
      <c r="N397" s="13"/>
      <c r="O397" s="202"/>
      <c r="P397" s="36"/>
      <c r="Q397" s="52"/>
      <c r="R397" s="52"/>
      <c r="S397" s="52"/>
      <c r="U397" s="202"/>
      <c r="V397" s="202"/>
      <c r="W397" s="202"/>
      <c r="X397" s="202"/>
      <c r="Y397" s="13"/>
      <c r="Z397" s="36"/>
      <c r="AA397" s="13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289"/>
      <c r="AO397" s="289"/>
      <c r="AP397" s="289"/>
      <c r="AQ397" s="36"/>
      <c r="AR397" s="283"/>
      <c r="AS397" s="13"/>
      <c r="AT397" s="13"/>
      <c r="AU397" s="32"/>
      <c r="AV397" s="277"/>
      <c r="AW397" s="277"/>
      <c r="AX397" s="277"/>
      <c r="AY397" s="280"/>
      <c r="AZ397" s="268"/>
      <c r="BA397" s="268"/>
      <c r="BB397" s="13"/>
      <c r="BC397" s="36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</row>
    <row r="398" spans="1:73">
      <c r="A398" s="13"/>
      <c r="B398" s="13"/>
      <c r="C398" s="13"/>
      <c r="D398" s="13"/>
      <c r="E398" s="13"/>
      <c r="F398" s="13"/>
      <c r="G398" s="36"/>
      <c r="H398" s="36"/>
      <c r="I398" s="36"/>
      <c r="J398" s="36"/>
      <c r="K398" s="36"/>
      <c r="L398" s="36"/>
      <c r="M398" s="36"/>
      <c r="N398" s="13"/>
      <c r="O398" s="202"/>
      <c r="P398" s="36"/>
      <c r="Q398" s="52"/>
      <c r="R398" s="52"/>
      <c r="S398" s="52"/>
      <c r="U398" s="202"/>
      <c r="V398" s="202"/>
      <c r="W398" s="202"/>
      <c r="X398" s="202"/>
      <c r="Y398" s="13"/>
      <c r="Z398" s="36"/>
      <c r="AA398" s="13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289"/>
      <c r="AO398" s="289"/>
      <c r="AP398" s="289"/>
      <c r="AQ398" s="36"/>
      <c r="AR398" s="283"/>
      <c r="AS398" s="13"/>
      <c r="AT398" s="13"/>
      <c r="AU398" s="32"/>
      <c r="AV398" s="277"/>
      <c r="AW398" s="277"/>
      <c r="AX398" s="277"/>
      <c r="AY398" s="280"/>
      <c r="AZ398" s="268"/>
      <c r="BA398" s="268"/>
      <c r="BB398" s="13"/>
      <c r="BC398" s="36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</row>
    <row r="399" spans="1:73">
      <c r="A399" s="13"/>
      <c r="B399" s="13"/>
      <c r="C399" s="13"/>
      <c r="D399" s="13"/>
      <c r="E399" s="13"/>
      <c r="F399" s="13"/>
      <c r="G399" s="36"/>
      <c r="H399" s="36"/>
      <c r="I399" s="36"/>
      <c r="J399" s="36"/>
      <c r="K399" s="36"/>
      <c r="L399" s="36"/>
      <c r="M399" s="36"/>
      <c r="N399" s="13"/>
      <c r="O399" s="202"/>
      <c r="P399" s="36"/>
      <c r="Q399" s="52"/>
      <c r="R399" s="52"/>
      <c r="S399" s="52"/>
      <c r="U399" s="202"/>
      <c r="V399" s="202"/>
      <c r="W399" s="202"/>
      <c r="X399" s="202"/>
      <c r="Y399" s="13"/>
      <c r="Z399" s="36"/>
      <c r="AA399" s="13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289"/>
      <c r="AO399" s="289"/>
      <c r="AP399" s="289"/>
      <c r="AQ399" s="36"/>
      <c r="AR399" s="283"/>
      <c r="AS399" s="13"/>
      <c r="AT399" s="13"/>
      <c r="AU399" s="32"/>
      <c r="AV399" s="277"/>
      <c r="AW399" s="277"/>
      <c r="AX399" s="277"/>
      <c r="AY399" s="280"/>
      <c r="AZ399" s="268"/>
      <c r="BA399" s="268"/>
      <c r="BB399" s="13"/>
      <c r="BC399" s="36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</row>
    <row r="400" spans="1:73">
      <c r="A400" s="13"/>
      <c r="B400" s="13"/>
      <c r="C400" s="13"/>
      <c r="D400" s="13"/>
      <c r="E400" s="13"/>
      <c r="F400" s="13"/>
      <c r="G400" s="36"/>
      <c r="H400" s="36"/>
      <c r="I400" s="36"/>
      <c r="J400" s="36"/>
      <c r="K400" s="36"/>
      <c r="L400" s="36"/>
      <c r="M400" s="36"/>
      <c r="N400" s="13"/>
      <c r="O400" s="202"/>
      <c r="P400" s="36"/>
      <c r="Q400" s="52"/>
      <c r="R400" s="52"/>
      <c r="S400" s="52"/>
      <c r="U400" s="202"/>
      <c r="V400" s="202"/>
      <c r="W400" s="202"/>
      <c r="X400" s="202"/>
      <c r="Y400" s="13"/>
      <c r="Z400" s="36"/>
      <c r="AA400" s="13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289"/>
      <c r="AO400" s="289"/>
      <c r="AP400" s="289"/>
      <c r="AQ400" s="36"/>
      <c r="AR400" s="283"/>
      <c r="AS400" s="13"/>
      <c r="AT400" s="13"/>
      <c r="AU400" s="32"/>
      <c r="AV400" s="277"/>
      <c r="AW400" s="277"/>
      <c r="AX400" s="277"/>
      <c r="AY400" s="280"/>
      <c r="AZ400" s="268"/>
      <c r="BA400" s="268"/>
      <c r="BB400" s="13"/>
      <c r="BC400" s="36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</row>
    <row r="401" spans="1:73">
      <c r="A401" s="13"/>
      <c r="B401" s="13"/>
      <c r="C401" s="13"/>
      <c r="D401" s="13"/>
      <c r="E401" s="13"/>
      <c r="F401" s="13"/>
      <c r="G401" s="36"/>
      <c r="H401" s="36"/>
      <c r="I401" s="36"/>
      <c r="J401" s="36"/>
      <c r="K401" s="36"/>
      <c r="L401" s="36"/>
      <c r="M401" s="36"/>
      <c r="N401" s="13"/>
      <c r="O401" s="202"/>
      <c r="P401" s="36"/>
      <c r="Q401" s="52"/>
      <c r="R401" s="52"/>
      <c r="S401" s="52"/>
      <c r="U401" s="202"/>
      <c r="V401" s="202"/>
      <c r="W401" s="202"/>
      <c r="X401" s="202"/>
      <c r="Y401" s="13"/>
      <c r="Z401" s="36"/>
      <c r="AA401" s="13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289"/>
      <c r="AO401" s="289"/>
      <c r="AP401" s="289"/>
      <c r="AQ401" s="36"/>
      <c r="AR401" s="283"/>
      <c r="AS401" s="13"/>
      <c r="AT401" s="13"/>
      <c r="AU401" s="32"/>
      <c r="AV401" s="277"/>
      <c r="AW401" s="277"/>
      <c r="AX401" s="277"/>
      <c r="AY401" s="280"/>
      <c r="AZ401" s="268"/>
      <c r="BA401" s="268"/>
      <c r="BB401" s="13"/>
      <c r="BC401" s="36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</row>
    <row r="402" spans="1:73">
      <c r="A402" s="13"/>
      <c r="B402" s="13"/>
      <c r="C402" s="13"/>
      <c r="D402" s="13"/>
      <c r="E402" s="13"/>
      <c r="F402" s="13"/>
      <c r="G402" s="36"/>
      <c r="H402" s="36"/>
      <c r="I402" s="36"/>
      <c r="J402" s="36"/>
      <c r="K402" s="36"/>
      <c r="L402" s="36"/>
      <c r="M402" s="36"/>
      <c r="N402" s="13"/>
      <c r="O402" s="202"/>
      <c r="P402" s="36"/>
      <c r="Q402" s="52"/>
      <c r="R402" s="52"/>
      <c r="S402" s="52"/>
      <c r="U402" s="202"/>
      <c r="V402" s="202"/>
      <c r="W402" s="202"/>
      <c r="X402" s="202"/>
      <c r="Y402" s="13"/>
      <c r="Z402" s="36"/>
      <c r="AA402" s="13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289"/>
      <c r="AO402" s="289"/>
      <c r="AP402" s="289"/>
      <c r="AQ402" s="36"/>
      <c r="AR402" s="283"/>
      <c r="AS402" s="13"/>
      <c r="AT402" s="13"/>
      <c r="AU402" s="32"/>
      <c r="AV402" s="277"/>
      <c r="AW402" s="277"/>
      <c r="AX402" s="277"/>
      <c r="AY402" s="280"/>
      <c r="AZ402" s="268"/>
      <c r="BA402" s="268"/>
      <c r="BB402" s="13"/>
      <c r="BC402" s="36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</row>
    <row r="403" spans="1:73">
      <c r="A403" s="13"/>
      <c r="B403" s="13"/>
      <c r="C403" s="13"/>
      <c r="D403" s="13"/>
      <c r="E403" s="13"/>
      <c r="F403" s="13"/>
      <c r="G403" s="36"/>
      <c r="H403" s="36"/>
      <c r="I403" s="36"/>
      <c r="J403" s="36"/>
      <c r="K403" s="36"/>
      <c r="L403" s="36"/>
      <c r="M403" s="36"/>
      <c r="N403" s="13"/>
      <c r="O403" s="202"/>
      <c r="P403" s="36"/>
      <c r="Q403" s="52"/>
      <c r="R403" s="52"/>
      <c r="S403" s="52"/>
      <c r="U403" s="202"/>
      <c r="V403" s="202"/>
      <c r="W403" s="202"/>
      <c r="X403" s="202"/>
      <c r="Y403" s="13"/>
      <c r="Z403" s="36"/>
      <c r="AA403" s="13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289"/>
      <c r="AO403" s="289"/>
      <c r="AP403" s="289"/>
      <c r="AQ403" s="36"/>
      <c r="AR403" s="283"/>
      <c r="AS403" s="13"/>
      <c r="AT403" s="13"/>
      <c r="AU403" s="32"/>
      <c r="AV403" s="277"/>
      <c r="AW403" s="277"/>
      <c r="AX403" s="277"/>
      <c r="AY403" s="280"/>
      <c r="AZ403" s="268"/>
      <c r="BA403" s="268"/>
      <c r="BB403" s="13"/>
      <c r="BC403" s="36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</row>
    <row r="404" spans="1:73">
      <c r="A404" s="13"/>
      <c r="B404" s="13"/>
      <c r="C404" s="13"/>
      <c r="D404" s="13"/>
      <c r="E404" s="13"/>
      <c r="F404" s="13"/>
      <c r="G404" s="36"/>
      <c r="H404" s="36"/>
      <c r="I404" s="36"/>
      <c r="J404" s="36"/>
      <c r="K404" s="36"/>
      <c r="L404" s="36"/>
      <c r="M404" s="36"/>
      <c r="N404" s="13"/>
      <c r="O404" s="202"/>
      <c r="P404" s="36"/>
      <c r="Q404" s="52"/>
      <c r="R404" s="52"/>
      <c r="S404" s="52"/>
      <c r="U404" s="202"/>
      <c r="V404" s="202"/>
      <c r="W404" s="202"/>
      <c r="X404" s="202"/>
      <c r="Y404" s="13"/>
      <c r="Z404" s="36"/>
      <c r="AA404" s="13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289"/>
      <c r="AO404" s="289"/>
      <c r="AP404" s="289"/>
      <c r="AQ404" s="36"/>
      <c r="AR404" s="283"/>
      <c r="AS404" s="13"/>
      <c r="AT404" s="13"/>
      <c r="AU404" s="32"/>
      <c r="AV404" s="277"/>
      <c r="AW404" s="277"/>
      <c r="AX404" s="277"/>
      <c r="AY404" s="280"/>
      <c r="AZ404" s="268"/>
      <c r="BA404" s="268"/>
      <c r="BB404" s="13"/>
      <c r="BC404" s="36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</row>
    <row r="405" spans="1:73">
      <c r="A405" s="13"/>
      <c r="B405" s="13"/>
      <c r="C405" s="13"/>
      <c r="D405" s="13"/>
      <c r="E405" s="13"/>
      <c r="F405" s="13"/>
      <c r="G405" s="36"/>
      <c r="H405" s="36"/>
      <c r="I405" s="36"/>
      <c r="J405" s="36"/>
      <c r="K405" s="36"/>
      <c r="L405" s="36"/>
      <c r="M405" s="36"/>
      <c r="N405" s="13"/>
      <c r="O405" s="202"/>
      <c r="P405" s="36"/>
      <c r="Q405" s="52"/>
      <c r="R405" s="52"/>
      <c r="S405" s="52"/>
      <c r="U405" s="202"/>
      <c r="V405" s="202"/>
      <c r="W405" s="202"/>
      <c r="X405" s="202"/>
      <c r="Y405" s="13"/>
      <c r="Z405" s="36"/>
      <c r="AA405" s="13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289"/>
      <c r="AO405" s="289"/>
      <c r="AP405" s="289"/>
      <c r="AQ405" s="36"/>
      <c r="AR405" s="283"/>
      <c r="AS405" s="13"/>
      <c r="AT405" s="13"/>
      <c r="AU405" s="32"/>
      <c r="AV405" s="277"/>
      <c r="AW405" s="277"/>
      <c r="AX405" s="277"/>
      <c r="AY405" s="280"/>
      <c r="AZ405" s="268"/>
      <c r="BA405" s="268"/>
      <c r="BB405" s="13"/>
      <c r="BC405" s="36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</row>
    <row r="406" spans="1:73">
      <c r="A406" s="13"/>
      <c r="B406" s="13"/>
      <c r="C406" s="13"/>
      <c r="D406" s="13"/>
      <c r="E406" s="13"/>
      <c r="F406" s="13"/>
      <c r="G406" s="36"/>
      <c r="H406" s="36"/>
      <c r="I406" s="36"/>
      <c r="J406" s="36"/>
      <c r="K406" s="36"/>
      <c r="L406" s="36"/>
      <c r="M406" s="36"/>
      <c r="N406" s="13"/>
      <c r="O406" s="202"/>
      <c r="P406" s="36"/>
      <c r="Q406" s="52"/>
      <c r="R406" s="52"/>
      <c r="S406" s="52"/>
      <c r="U406" s="202"/>
      <c r="V406" s="202"/>
      <c r="W406" s="202"/>
      <c r="X406" s="202"/>
      <c r="Y406" s="13"/>
      <c r="Z406" s="36"/>
      <c r="AA406" s="13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289"/>
      <c r="AO406" s="289"/>
      <c r="AP406" s="289"/>
      <c r="AQ406" s="36"/>
      <c r="AR406" s="283"/>
      <c r="AS406" s="13"/>
      <c r="AT406" s="13"/>
      <c r="AU406" s="32"/>
      <c r="AV406" s="277"/>
      <c r="AW406" s="277"/>
      <c r="AX406" s="277"/>
      <c r="AY406" s="280"/>
      <c r="AZ406" s="268"/>
      <c r="BA406" s="268"/>
      <c r="BB406" s="13"/>
      <c r="BC406" s="36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</row>
    <row r="407" spans="1:73">
      <c r="A407" s="13"/>
      <c r="B407" s="13"/>
      <c r="C407" s="13"/>
      <c r="D407" s="13"/>
      <c r="E407" s="13"/>
      <c r="F407" s="13"/>
      <c r="G407" s="36"/>
      <c r="H407" s="36"/>
      <c r="I407" s="36"/>
      <c r="J407" s="36"/>
      <c r="K407" s="36"/>
      <c r="L407" s="36"/>
      <c r="M407" s="36"/>
      <c r="N407" s="13"/>
      <c r="O407" s="202"/>
      <c r="P407" s="36"/>
      <c r="Q407" s="52"/>
      <c r="R407" s="52"/>
      <c r="S407" s="52"/>
      <c r="U407" s="202"/>
      <c r="V407" s="202"/>
      <c r="W407" s="202"/>
      <c r="X407" s="202"/>
      <c r="Y407" s="13"/>
      <c r="Z407" s="36"/>
      <c r="AA407" s="13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289"/>
      <c r="AO407" s="289"/>
      <c r="AP407" s="289"/>
      <c r="AQ407" s="36"/>
      <c r="AR407" s="283"/>
      <c r="AS407" s="13"/>
      <c r="AT407" s="13"/>
      <c r="AU407" s="32"/>
      <c r="AV407" s="277"/>
      <c r="AW407" s="277"/>
      <c r="AX407" s="277"/>
      <c r="AY407" s="280"/>
      <c r="AZ407" s="268"/>
      <c r="BA407" s="268"/>
      <c r="BB407" s="13"/>
      <c r="BC407" s="36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</row>
    <row r="408" spans="1:73">
      <c r="A408" s="13"/>
      <c r="B408" s="13"/>
      <c r="C408" s="13"/>
      <c r="D408" s="13"/>
      <c r="E408" s="13"/>
      <c r="F408" s="13"/>
      <c r="G408" s="36"/>
      <c r="H408" s="36"/>
      <c r="I408" s="36"/>
      <c r="J408" s="36"/>
      <c r="K408" s="36"/>
      <c r="L408" s="36"/>
      <c r="M408" s="36"/>
      <c r="N408" s="13"/>
      <c r="O408" s="202"/>
      <c r="P408" s="36"/>
      <c r="Q408" s="52"/>
      <c r="R408" s="52"/>
      <c r="S408" s="52"/>
      <c r="U408" s="202"/>
      <c r="V408" s="202"/>
      <c r="W408" s="202"/>
      <c r="X408" s="202"/>
      <c r="Y408" s="13"/>
      <c r="Z408" s="36"/>
      <c r="AA408" s="13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289"/>
      <c r="AO408" s="289"/>
      <c r="AP408" s="289"/>
      <c r="AQ408" s="36"/>
      <c r="AR408" s="283"/>
      <c r="AS408" s="13"/>
      <c r="AT408" s="13"/>
      <c r="AU408" s="32"/>
      <c r="AV408" s="277"/>
      <c r="AW408" s="277"/>
      <c r="AX408" s="277"/>
      <c r="AY408" s="280"/>
      <c r="AZ408" s="268"/>
      <c r="BA408" s="268"/>
      <c r="BB408" s="13"/>
      <c r="BC408" s="36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</row>
    <row r="409" spans="1:73">
      <c r="A409" s="13"/>
      <c r="B409" s="13"/>
      <c r="C409" s="13"/>
      <c r="D409" s="13"/>
      <c r="E409" s="13"/>
      <c r="F409" s="13"/>
      <c r="G409" s="36"/>
      <c r="H409" s="36"/>
      <c r="I409" s="36"/>
      <c r="J409" s="36"/>
      <c r="K409" s="36"/>
      <c r="L409" s="36"/>
      <c r="M409" s="36"/>
      <c r="N409" s="13"/>
      <c r="O409" s="202"/>
      <c r="P409" s="36"/>
      <c r="Q409" s="52"/>
      <c r="R409" s="52"/>
      <c r="S409" s="52"/>
      <c r="U409" s="202"/>
      <c r="V409" s="202"/>
      <c r="W409" s="202"/>
      <c r="X409" s="202"/>
      <c r="Y409" s="13"/>
      <c r="Z409" s="36"/>
      <c r="AA409" s="13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289"/>
      <c r="AO409" s="289"/>
      <c r="AP409" s="289"/>
      <c r="AQ409" s="36"/>
      <c r="AR409" s="283"/>
      <c r="AS409" s="13"/>
      <c r="AT409" s="13"/>
      <c r="AU409" s="32"/>
      <c r="AV409" s="277"/>
      <c r="AW409" s="277"/>
      <c r="AX409" s="277"/>
      <c r="AY409" s="280"/>
      <c r="AZ409" s="268"/>
      <c r="BA409" s="268"/>
      <c r="BB409" s="13"/>
      <c r="BC409" s="36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</row>
    <row r="410" spans="1:73">
      <c r="A410" s="13"/>
      <c r="B410" s="13"/>
      <c r="C410" s="13"/>
      <c r="D410" s="13"/>
      <c r="E410" s="13"/>
      <c r="F410" s="13"/>
      <c r="G410" s="36"/>
      <c r="H410" s="36"/>
      <c r="I410" s="36"/>
      <c r="J410" s="36"/>
      <c r="K410" s="36"/>
      <c r="L410" s="36"/>
      <c r="M410" s="36"/>
      <c r="N410" s="13"/>
      <c r="O410" s="202"/>
      <c r="P410" s="36"/>
      <c r="Q410" s="52"/>
      <c r="R410" s="52"/>
      <c r="S410" s="52"/>
      <c r="U410" s="202"/>
      <c r="V410" s="202"/>
      <c r="W410" s="202"/>
      <c r="X410" s="202"/>
      <c r="Y410" s="13"/>
      <c r="Z410" s="36"/>
      <c r="AA410" s="13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289"/>
      <c r="AO410" s="289"/>
      <c r="AP410" s="289"/>
      <c r="AQ410" s="36"/>
      <c r="AR410" s="283"/>
      <c r="AS410" s="13"/>
      <c r="AT410" s="13"/>
      <c r="AU410" s="32"/>
      <c r="AV410" s="277"/>
      <c r="AW410" s="277"/>
      <c r="AX410" s="277"/>
      <c r="AY410" s="280"/>
      <c r="AZ410" s="268"/>
      <c r="BA410" s="268"/>
      <c r="BB410" s="13"/>
      <c r="BC410" s="36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</row>
    <row r="411" spans="1:73">
      <c r="A411" s="13"/>
      <c r="B411" s="13"/>
      <c r="C411" s="13"/>
      <c r="D411" s="13"/>
      <c r="E411" s="13"/>
      <c r="F411" s="13"/>
      <c r="G411" s="36"/>
      <c r="H411" s="36"/>
      <c r="I411" s="36"/>
      <c r="J411" s="36"/>
      <c r="K411" s="36"/>
      <c r="L411" s="36"/>
      <c r="M411" s="36"/>
      <c r="N411" s="13"/>
      <c r="O411" s="202"/>
      <c r="P411" s="36"/>
      <c r="Q411" s="52"/>
      <c r="R411" s="52"/>
      <c r="S411" s="52"/>
      <c r="U411" s="202"/>
      <c r="V411" s="202"/>
      <c r="W411" s="202"/>
      <c r="X411" s="202"/>
      <c r="Y411" s="13"/>
      <c r="Z411" s="36"/>
      <c r="AA411" s="13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289"/>
      <c r="AO411" s="289"/>
      <c r="AP411" s="289"/>
      <c r="AQ411" s="36"/>
      <c r="AR411" s="283"/>
      <c r="AS411" s="13"/>
      <c r="AT411" s="13"/>
      <c r="AU411" s="32"/>
      <c r="AV411" s="277"/>
      <c r="AW411" s="277"/>
      <c r="AX411" s="277"/>
      <c r="AY411" s="280"/>
      <c r="AZ411" s="268"/>
      <c r="BA411" s="268"/>
      <c r="BB411" s="13"/>
      <c r="BC411" s="36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</row>
    <row r="412" spans="1:73">
      <c r="A412" s="13"/>
      <c r="B412" s="13"/>
      <c r="C412" s="13"/>
      <c r="D412" s="13"/>
      <c r="E412" s="13"/>
      <c r="F412" s="13"/>
      <c r="G412" s="36"/>
      <c r="H412" s="36"/>
      <c r="I412" s="36"/>
      <c r="J412" s="36"/>
      <c r="K412" s="36"/>
      <c r="L412" s="36"/>
      <c r="M412" s="36"/>
      <c r="N412" s="13"/>
      <c r="O412" s="202"/>
      <c r="P412" s="36"/>
      <c r="Q412" s="52"/>
      <c r="R412" s="52"/>
      <c r="S412" s="52"/>
      <c r="U412" s="202"/>
      <c r="V412" s="202"/>
      <c r="W412" s="202"/>
      <c r="X412" s="202"/>
      <c r="Y412" s="13"/>
      <c r="Z412" s="36"/>
      <c r="AA412" s="13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289"/>
      <c r="AO412" s="289"/>
      <c r="AP412" s="289"/>
      <c r="AQ412" s="36"/>
      <c r="AR412" s="283"/>
      <c r="AS412" s="13"/>
      <c r="AT412" s="13"/>
      <c r="AU412" s="32"/>
      <c r="AV412" s="277"/>
      <c r="AW412" s="277"/>
      <c r="AX412" s="277"/>
      <c r="AY412" s="280"/>
      <c r="AZ412" s="268"/>
      <c r="BA412" s="268"/>
      <c r="BB412" s="13"/>
      <c r="BC412" s="36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</row>
    <row r="413" spans="1:73">
      <c r="A413" s="13"/>
      <c r="B413" s="13"/>
      <c r="C413" s="13"/>
      <c r="D413" s="13"/>
      <c r="E413" s="13"/>
      <c r="F413" s="13"/>
      <c r="G413" s="36"/>
      <c r="H413" s="36"/>
      <c r="I413" s="36"/>
      <c r="J413" s="36"/>
      <c r="K413" s="36"/>
      <c r="L413" s="36"/>
      <c r="M413" s="36"/>
      <c r="N413" s="13"/>
      <c r="O413" s="202"/>
      <c r="P413" s="36"/>
      <c r="Q413" s="52"/>
      <c r="R413" s="52"/>
      <c r="S413" s="52"/>
      <c r="U413" s="202"/>
      <c r="V413" s="202"/>
      <c r="W413" s="202"/>
      <c r="X413" s="202"/>
      <c r="Y413" s="13"/>
      <c r="Z413" s="36"/>
      <c r="AA413" s="13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289"/>
      <c r="AO413" s="289"/>
      <c r="AP413" s="289"/>
      <c r="AQ413" s="36"/>
      <c r="AR413" s="283"/>
      <c r="AS413" s="13"/>
      <c r="AT413" s="13"/>
      <c r="AU413" s="32"/>
      <c r="AV413" s="277"/>
      <c r="AW413" s="277"/>
      <c r="AX413" s="277"/>
      <c r="AY413" s="280"/>
      <c r="AZ413" s="268"/>
      <c r="BA413" s="268"/>
      <c r="BB413" s="13"/>
      <c r="BC413" s="36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</row>
    <row r="414" spans="1:73">
      <c r="A414" s="13"/>
      <c r="B414" s="13"/>
      <c r="C414" s="13"/>
      <c r="D414" s="13"/>
      <c r="E414" s="13"/>
      <c r="F414" s="13"/>
      <c r="G414" s="36"/>
      <c r="H414" s="36"/>
      <c r="I414" s="36"/>
      <c r="J414" s="36"/>
      <c r="K414" s="36"/>
      <c r="L414" s="36"/>
      <c r="M414" s="36"/>
      <c r="N414" s="13"/>
      <c r="O414" s="202"/>
      <c r="P414" s="36"/>
      <c r="Q414" s="52"/>
      <c r="R414" s="52"/>
      <c r="S414" s="52"/>
      <c r="U414" s="202"/>
      <c r="V414" s="202"/>
      <c r="W414" s="202"/>
      <c r="X414" s="202"/>
      <c r="Y414" s="13"/>
      <c r="Z414" s="36"/>
      <c r="AA414" s="13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289"/>
      <c r="AO414" s="289"/>
      <c r="AP414" s="289"/>
      <c r="AQ414" s="36"/>
      <c r="AR414" s="283"/>
      <c r="AS414" s="13"/>
      <c r="AT414" s="13"/>
      <c r="AU414" s="32"/>
      <c r="AV414" s="277"/>
      <c r="AW414" s="277"/>
      <c r="AX414" s="277"/>
      <c r="AY414" s="280"/>
      <c r="AZ414" s="268"/>
      <c r="BA414" s="268"/>
      <c r="BB414" s="13"/>
      <c r="BC414" s="36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</row>
    <row r="415" spans="1:73">
      <c r="A415" s="13"/>
      <c r="B415" s="13"/>
      <c r="C415" s="13"/>
      <c r="D415" s="13"/>
      <c r="E415" s="13"/>
      <c r="F415" s="13"/>
      <c r="G415" s="36"/>
      <c r="H415" s="36"/>
      <c r="I415" s="36"/>
      <c r="J415" s="36"/>
      <c r="K415" s="36"/>
      <c r="L415" s="36"/>
      <c r="M415" s="36"/>
      <c r="N415" s="13"/>
      <c r="O415" s="202"/>
      <c r="P415" s="36"/>
      <c r="Q415" s="52"/>
      <c r="R415" s="52"/>
      <c r="S415" s="52"/>
      <c r="U415" s="202"/>
      <c r="V415" s="202"/>
      <c r="W415" s="202"/>
      <c r="X415" s="202"/>
      <c r="Y415" s="13"/>
      <c r="Z415" s="36"/>
      <c r="AA415" s="13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289"/>
      <c r="AO415" s="289"/>
      <c r="AP415" s="289"/>
      <c r="AQ415" s="36"/>
      <c r="AR415" s="283"/>
      <c r="AS415" s="13"/>
      <c r="AT415" s="13"/>
      <c r="AU415" s="32"/>
      <c r="AV415" s="277"/>
      <c r="AW415" s="277"/>
      <c r="AX415" s="277"/>
      <c r="AY415" s="280"/>
      <c r="AZ415" s="268"/>
      <c r="BA415" s="268"/>
      <c r="BB415" s="13"/>
      <c r="BC415" s="36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</row>
    <row r="416" spans="1:73">
      <c r="A416" s="13"/>
      <c r="B416" s="13"/>
      <c r="C416" s="13"/>
      <c r="D416" s="13"/>
      <c r="E416" s="13"/>
      <c r="F416" s="13"/>
      <c r="G416" s="36"/>
      <c r="H416" s="36"/>
      <c r="I416" s="36"/>
      <c r="J416" s="36"/>
      <c r="K416" s="36"/>
      <c r="L416" s="36"/>
      <c r="M416" s="36"/>
      <c r="N416" s="13"/>
      <c r="O416" s="202"/>
      <c r="P416" s="36"/>
      <c r="Q416" s="52"/>
      <c r="R416" s="52"/>
      <c r="S416" s="52"/>
      <c r="U416" s="202"/>
      <c r="V416" s="202"/>
      <c r="W416" s="202"/>
      <c r="X416" s="202"/>
      <c r="Y416" s="13"/>
      <c r="Z416" s="36"/>
      <c r="AA416" s="13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289"/>
      <c r="AO416" s="289"/>
      <c r="AP416" s="289"/>
      <c r="AQ416" s="36"/>
      <c r="AR416" s="283"/>
      <c r="AS416" s="13"/>
      <c r="AT416" s="13"/>
      <c r="AU416" s="32"/>
      <c r="AV416" s="277"/>
      <c r="AW416" s="277"/>
      <c r="AX416" s="277"/>
      <c r="AY416" s="280"/>
      <c r="AZ416" s="268"/>
      <c r="BA416" s="268"/>
      <c r="BB416" s="13"/>
      <c r="BC416" s="36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</row>
    <row r="417" spans="1:73">
      <c r="A417" s="13"/>
      <c r="B417" s="13"/>
      <c r="C417" s="13"/>
      <c r="D417" s="13"/>
      <c r="E417" s="13"/>
      <c r="F417" s="13"/>
      <c r="G417" s="36"/>
      <c r="H417" s="36"/>
      <c r="I417" s="36"/>
      <c r="J417" s="36"/>
      <c r="K417" s="36"/>
      <c r="L417" s="36"/>
      <c r="M417" s="36"/>
      <c r="N417" s="13"/>
      <c r="O417" s="202"/>
      <c r="P417" s="36"/>
      <c r="Q417" s="52"/>
      <c r="R417" s="52"/>
      <c r="S417" s="52"/>
      <c r="U417" s="202"/>
      <c r="V417" s="202"/>
      <c r="W417" s="202"/>
      <c r="X417" s="202"/>
      <c r="Y417" s="13"/>
      <c r="Z417" s="36"/>
      <c r="AA417" s="13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289"/>
      <c r="AO417" s="289"/>
      <c r="AP417" s="289"/>
      <c r="AQ417" s="36"/>
      <c r="AR417" s="283"/>
      <c r="AS417" s="13"/>
      <c r="AT417" s="13"/>
      <c r="AU417" s="32"/>
      <c r="AV417" s="277"/>
      <c r="AW417" s="277"/>
      <c r="AX417" s="277"/>
      <c r="AY417" s="280"/>
      <c r="AZ417" s="268"/>
      <c r="BA417" s="268"/>
      <c r="BB417" s="13"/>
      <c r="BC417" s="36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</row>
    <row r="418" spans="1:73">
      <c r="A418" s="13"/>
      <c r="B418" s="13"/>
      <c r="C418" s="13"/>
      <c r="D418" s="13"/>
      <c r="E418" s="13"/>
      <c r="F418" s="13"/>
      <c r="G418" s="36"/>
      <c r="H418" s="36"/>
      <c r="I418" s="36"/>
      <c r="J418" s="36"/>
      <c r="K418" s="36"/>
      <c r="L418" s="36"/>
      <c r="M418" s="36"/>
      <c r="N418" s="13"/>
      <c r="O418" s="202"/>
      <c r="P418" s="36"/>
      <c r="Q418" s="52"/>
      <c r="R418" s="52"/>
      <c r="S418" s="52"/>
      <c r="U418" s="202"/>
      <c r="V418" s="202"/>
      <c r="W418" s="202"/>
      <c r="X418" s="202"/>
      <c r="Y418" s="13"/>
      <c r="Z418" s="36"/>
      <c r="AA418" s="13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289"/>
      <c r="AO418" s="289"/>
      <c r="AP418" s="289"/>
      <c r="AQ418" s="36"/>
      <c r="AR418" s="283"/>
      <c r="AS418" s="13"/>
      <c r="AT418" s="13"/>
      <c r="AU418" s="32"/>
      <c r="AV418" s="277"/>
      <c r="AW418" s="277"/>
      <c r="AX418" s="277"/>
      <c r="AY418" s="280"/>
      <c r="AZ418" s="268"/>
      <c r="BA418" s="268"/>
      <c r="BB418" s="13"/>
      <c r="BC418" s="36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</row>
    <row r="419" spans="1:73">
      <c r="A419" s="13"/>
      <c r="B419" s="13"/>
      <c r="C419" s="13"/>
      <c r="D419" s="13"/>
      <c r="E419" s="13"/>
      <c r="F419" s="13"/>
      <c r="G419" s="36"/>
      <c r="H419" s="36"/>
      <c r="I419" s="36"/>
      <c r="J419" s="36"/>
      <c r="K419" s="36"/>
      <c r="L419" s="36"/>
      <c r="M419" s="36"/>
      <c r="N419" s="13"/>
      <c r="O419" s="202"/>
      <c r="P419" s="36"/>
      <c r="Q419" s="52"/>
      <c r="R419" s="52"/>
      <c r="S419" s="52"/>
      <c r="U419" s="202"/>
      <c r="V419" s="202"/>
      <c r="W419" s="202"/>
      <c r="X419" s="202"/>
      <c r="Y419" s="13"/>
      <c r="Z419" s="36"/>
      <c r="AA419" s="13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289"/>
      <c r="AO419" s="289"/>
      <c r="AP419" s="289"/>
      <c r="AQ419" s="36"/>
      <c r="AR419" s="283"/>
      <c r="AS419" s="13"/>
      <c r="AT419" s="13"/>
      <c r="AU419" s="32"/>
      <c r="AV419" s="277"/>
      <c r="AW419" s="277"/>
      <c r="AX419" s="277"/>
      <c r="AY419" s="280"/>
      <c r="AZ419" s="268"/>
      <c r="BA419" s="268"/>
      <c r="BB419" s="13"/>
      <c r="BC419" s="36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</row>
    <row r="420" spans="1:73">
      <c r="A420" s="13"/>
      <c r="B420" s="13"/>
      <c r="C420" s="13"/>
      <c r="D420" s="13"/>
      <c r="E420" s="13"/>
      <c r="F420" s="13"/>
      <c r="G420" s="36"/>
      <c r="H420" s="36"/>
      <c r="I420" s="36"/>
      <c r="J420" s="36"/>
      <c r="K420" s="36"/>
      <c r="L420" s="36"/>
      <c r="M420" s="36"/>
      <c r="N420" s="13"/>
      <c r="O420" s="202"/>
      <c r="P420" s="36"/>
      <c r="Q420" s="52"/>
      <c r="R420" s="52"/>
      <c r="S420" s="52"/>
      <c r="U420" s="202"/>
      <c r="V420" s="202"/>
      <c r="W420" s="202"/>
      <c r="X420" s="202"/>
      <c r="Y420" s="13"/>
      <c r="Z420" s="36"/>
      <c r="AA420" s="13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289"/>
      <c r="AO420" s="289"/>
      <c r="AP420" s="289"/>
      <c r="AQ420" s="36"/>
      <c r="AR420" s="283"/>
      <c r="AS420" s="13"/>
      <c r="AT420" s="13"/>
      <c r="AU420" s="32"/>
      <c r="AV420" s="277"/>
      <c r="AW420" s="277"/>
      <c r="AX420" s="277"/>
      <c r="AY420" s="280"/>
      <c r="AZ420" s="268"/>
      <c r="BA420" s="268"/>
      <c r="BB420" s="13"/>
      <c r="BC420" s="36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</row>
    <row r="421" spans="1:73">
      <c r="A421" s="13"/>
      <c r="B421" s="13"/>
      <c r="C421" s="13"/>
      <c r="D421" s="13"/>
      <c r="E421" s="13"/>
      <c r="F421" s="13"/>
      <c r="G421" s="36"/>
      <c r="H421" s="36"/>
      <c r="I421" s="36"/>
      <c r="J421" s="36"/>
      <c r="K421" s="36"/>
      <c r="L421" s="36"/>
      <c r="M421" s="36"/>
      <c r="N421" s="13"/>
      <c r="O421" s="202"/>
      <c r="P421" s="36"/>
      <c r="Q421" s="52"/>
      <c r="R421" s="52"/>
      <c r="S421" s="52"/>
      <c r="U421" s="202"/>
      <c r="V421" s="202"/>
      <c r="W421" s="202"/>
      <c r="X421" s="202"/>
      <c r="Y421" s="13"/>
      <c r="Z421" s="36"/>
      <c r="AA421" s="13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289"/>
      <c r="AO421" s="289"/>
      <c r="AP421" s="289"/>
      <c r="AQ421" s="36"/>
      <c r="AR421" s="283"/>
      <c r="AS421" s="13"/>
      <c r="AT421" s="13"/>
      <c r="AU421" s="32"/>
      <c r="AV421" s="277"/>
      <c r="AW421" s="277"/>
      <c r="AX421" s="277"/>
      <c r="AY421" s="280"/>
      <c r="AZ421" s="268"/>
      <c r="BA421" s="268"/>
      <c r="BB421" s="13"/>
      <c r="BC421" s="36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</row>
    <row r="422" spans="1:73">
      <c r="A422" s="13"/>
      <c r="B422" s="13"/>
      <c r="C422" s="13"/>
      <c r="D422" s="13"/>
      <c r="E422" s="13"/>
      <c r="F422" s="13"/>
      <c r="G422" s="36"/>
      <c r="H422" s="36"/>
      <c r="I422" s="36"/>
      <c r="J422" s="36"/>
      <c r="K422" s="36"/>
      <c r="L422" s="36"/>
      <c r="M422" s="36"/>
      <c r="N422" s="13"/>
      <c r="O422" s="202"/>
      <c r="P422" s="36"/>
      <c r="Q422" s="52"/>
      <c r="R422" s="52"/>
      <c r="S422" s="52"/>
      <c r="U422" s="202"/>
      <c r="V422" s="202"/>
      <c r="W422" s="202"/>
      <c r="X422" s="202"/>
      <c r="Y422" s="13"/>
      <c r="Z422" s="36"/>
      <c r="AA422" s="13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289"/>
      <c r="AO422" s="289"/>
      <c r="AP422" s="289"/>
      <c r="AQ422" s="36"/>
      <c r="AR422" s="283"/>
      <c r="AS422" s="13"/>
      <c r="AT422" s="13"/>
      <c r="AU422" s="32"/>
      <c r="AV422" s="277"/>
      <c r="AW422" s="277"/>
      <c r="AX422" s="277"/>
      <c r="AY422" s="280"/>
      <c r="AZ422" s="268"/>
      <c r="BA422" s="268"/>
      <c r="BB422" s="13"/>
      <c r="BC422" s="36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</row>
    <row r="423" spans="1:73">
      <c r="A423" s="13"/>
      <c r="B423" s="13"/>
      <c r="C423" s="13"/>
      <c r="D423" s="13"/>
      <c r="E423" s="13"/>
      <c r="F423" s="13"/>
      <c r="G423" s="36"/>
      <c r="H423" s="36"/>
      <c r="I423" s="36"/>
      <c r="J423" s="36"/>
      <c r="K423" s="36"/>
      <c r="L423" s="36"/>
      <c r="M423" s="36"/>
      <c r="N423" s="13"/>
      <c r="O423" s="202"/>
      <c r="P423" s="36"/>
      <c r="Q423" s="52"/>
      <c r="R423" s="52"/>
      <c r="S423" s="52"/>
      <c r="U423" s="202"/>
      <c r="V423" s="202"/>
      <c r="W423" s="202"/>
      <c r="X423" s="202"/>
      <c r="Y423" s="13"/>
      <c r="Z423" s="36"/>
      <c r="AA423" s="13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289"/>
      <c r="AO423" s="289"/>
      <c r="AP423" s="289"/>
      <c r="AQ423" s="36"/>
      <c r="AR423" s="283"/>
      <c r="AS423" s="13"/>
      <c r="AT423" s="13"/>
      <c r="AU423" s="32"/>
      <c r="AV423" s="277"/>
      <c r="AW423" s="277"/>
      <c r="AX423" s="277"/>
      <c r="AY423" s="280"/>
      <c r="AZ423" s="268"/>
      <c r="BA423" s="268"/>
      <c r="BB423" s="13"/>
      <c r="BC423" s="36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</row>
    <row r="424" spans="1:73">
      <c r="A424" s="13"/>
      <c r="B424" s="13"/>
      <c r="C424" s="13"/>
      <c r="D424" s="13"/>
      <c r="E424" s="13"/>
      <c r="F424" s="13"/>
      <c r="G424" s="36"/>
      <c r="H424" s="36"/>
      <c r="I424" s="36"/>
      <c r="J424" s="36"/>
      <c r="K424" s="36"/>
      <c r="L424" s="36"/>
      <c r="M424" s="36"/>
      <c r="N424" s="13"/>
      <c r="O424" s="202"/>
      <c r="P424" s="36"/>
      <c r="Q424" s="52"/>
      <c r="R424" s="52"/>
      <c r="S424" s="52"/>
      <c r="U424" s="202"/>
      <c r="V424" s="202"/>
      <c r="W424" s="202"/>
      <c r="X424" s="202"/>
      <c r="Y424" s="13"/>
      <c r="Z424" s="36"/>
      <c r="AA424" s="13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289"/>
      <c r="AO424" s="289"/>
      <c r="AP424" s="289"/>
      <c r="AQ424" s="36"/>
      <c r="AR424" s="283"/>
      <c r="AS424" s="13"/>
      <c r="AT424" s="13"/>
      <c r="AU424" s="32"/>
      <c r="AV424" s="277"/>
      <c r="AW424" s="277"/>
      <c r="AX424" s="277"/>
      <c r="AY424" s="280"/>
      <c r="AZ424" s="268"/>
      <c r="BA424" s="268"/>
      <c r="BB424" s="13"/>
      <c r="BC424" s="36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</row>
    <row r="425" spans="1:73">
      <c r="A425" s="13"/>
      <c r="B425" s="13"/>
      <c r="C425" s="13"/>
      <c r="D425" s="13"/>
      <c r="E425" s="13"/>
      <c r="F425" s="13"/>
      <c r="G425" s="36"/>
      <c r="H425" s="36"/>
      <c r="I425" s="36"/>
      <c r="J425" s="36"/>
      <c r="K425" s="36"/>
      <c r="L425" s="36"/>
      <c r="M425" s="36"/>
      <c r="N425" s="13"/>
      <c r="O425" s="202"/>
      <c r="P425" s="36"/>
      <c r="Q425" s="52"/>
      <c r="R425" s="52"/>
      <c r="S425" s="52"/>
      <c r="U425" s="202"/>
      <c r="V425" s="202"/>
      <c r="W425" s="202"/>
      <c r="X425" s="202"/>
      <c r="Y425" s="13"/>
      <c r="Z425" s="36"/>
      <c r="AA425" s="13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289"/>
      <c r="AO425" s="289"/>
      <c r="AP425" s="289"/>
      <c r="AQ425" s="36"/>
      <c r="AR425" s="283"/>
      <c r="AS425" s="13"/>
      <c r="AT425" s="13"/>
      <c r="AU425" s="32"/>
      <c r="AV425" s="277"/>
      <c r="AW425" s="277"/>
      <c r="AX425" s="277"/>
      <c r="AY425" s="280"/>
      <c r="AZ425" s="268"/>
      <c r="BA425" s="268"/>
      <c r="BB425" s="13"/>
      <c r="BC425" s="36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</row>
    <row r="426" spans="1:73">
      <c r="A426" s="13"/>
      <c r="B426" s="13"/>
      <c r="C426" s="13"/>
      <c r="D426" s="13"/>
      <c r="E426" s="13"/>
      <c r="F426" s="13"/>
      <c r="G426" s="36"/>
      <c r="H426" s="36"/>
      <c r="I426" s="36"/>
      <c r="J426" s="36"/>
      <c r="K426" s="36"/>
      <c r="L426" s="36"/>
      <c r="M426" s="36"/>
      <c r="N426" s="13"/>
      <c r="O426" s="202"/>
      <c r="P426" s="36"/>
      <c r="Q426" s="52"/>
      <c r="R426" s="52"/>
      <c r="S426" s="52"/>
      <c r="U426" s="202"/>
      <c r="V426" s="202"/>
      <c r="W426" s="202"/>
      <c r="X426" s="202"/>
      <c r="Y426" s="13"/>
      <c r="Z426" s="36"/>
      <c r="AA426" s="13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289"/>
      <c r="AO426" s="289"/>
      <c r="AP426" s="289"/>
      <c r="AQ426" s="36"/>
      <c r="AR426" s="283"/>
      <c r="AS426" s="13"/>
      <c r="AT426" s="13"/>
      <c r="AU426" s="32"/>
      <c r="AV426" s="277"/>
      <c r="AW426" s="277"/>
      <c r="AX426" s="277"/>
      <c r="AY426" s="280"/>
      <c r="AZ426" s="268"/>
      <c r="BA426" s="268"/>
      <c r="BB426" s="13"/>
      <c r="BC426" s="36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</row>
    <row r="427" spans="1:73">
      <c r="A427" s="13"/>
      <c r="B427" s="13"/>
      <c r="C427" s="13"/>
      <c r="D427" s="13"/>
      <c r="E427" s="13"/>
      <c r="F427" s="13"/>
      <c r="G427" s="36"/>
      <c r="H427" s="36"/>
      <c r="I427" s="36"/>
      <c r="J427" s="36"/>
      <c r="K427" s="36"/>
      <c r="L427" s="36"/>
      <c r="M427" s="36"/>
      <c r="N427" s="13"/>
      <c r="O427" s="202"/>
      <c r="P427" s="36"/>
      <c r="Q427" s="52"/>
      <c r="R427" s="52"/>
      <c r="S427" s="52"/>
      <c r="U427" s="202"/>
      <c r="V427" s="202"/>
      <c r="W427" s="202"/>
      <c r="X427" s="202"/>
      <c r="Y427" s="13"/>
      <c r="Z427" s="36"/>
      <c r="AA427" s="13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289"/>
      <c r="AO427" s="289"/>
      <c r="AP427" s="289"/>
      <c r="AQ427" s="36"/>
      <c r="AR427" s="283"/>
      <c r="AS427" s="13"/>
      <c r="AT427" s="13"/>
      <c r="AU427" s="32"/>
      <c r="AV427" s="277"/>
      <c r="AW427" s="277"/>
      <c r="AX427" s="277"/>
      <c r="AY427" s="280"/>
      <c r="AZ427" s="268"/>
      <c r="BA427" s="268"/>
      <c r="BB427" s="13"/>
      <c r="BC427" s="36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</row>
    <row r="428" spans="1:73">
      <c r="A428" s="13"/>
      <c r="B428" s="13"/>
      <c r="C428" s="13"/>
      <c r="D428" s="13"/>
      <c r="E428" s="13"/>
      <c r="F428" s="13"/>
      <c r="G428" s="36"/>
      <c r="H428" s="36"/>
      <c r="I428" s="36"/>
      <c r="J428" s="36"/>
      <c r="K428" s="36"/>
      <c r="L428" s="36"/>
      <c r="M428" s="36"/>
      <c r="N428" s="13"/>
      <c r="O428" s="202"/>
      <c r="P428" s="36"/>
      <c r="Q428" s="52"/>
      <c r="R428" s="52"/>
      <c r="S428" s="52"/>
      <c r="U428" s="202"/>
      <c r="V428" s="202"/>
      <c r="W428" s="202"/>
      <c r="X428" s="202"/>
      <c r="Y428" s="13"/>
      <c r="Z428" s="36"/>
      <c r="AA428" s="13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289"/>
      <c r="AO428" s="289"/>
      <c r="AP428" s="289"/>
      <c r="AQ428" s="36"/>
      <c r="AR428" s="283"/>
      <c r="AS428" s="13"/>
      <c r="AT428" s="13"/>
      <c r="AU428" s="32"/>
      <c r="AV428" s="277"/>
      <c r="AW428" s="277"/>
      <c r="AX428" s="277"/>
      <c r="AY428" s="280"/>
      <c r="AZ428" s="268"/>
      <c r="BA428" s="268"/>
      <c r="BB428" s="13"/>
      <c r="BC428" s="36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</row>
    <row r="429" spans="1:73">
      <c r="A429" s="13"/>
      <c r="B429" s="13"/>
      <c r="C429" s="13"/>
      <c r="D429" s="13"/>
      <c r="E429" s="13"/>
      <c r="F429" s="13"/>
      <c r="G429" s="36"/>
      <c r="H429" s="36"/>
      <c r="I429" s="36"/>
      <c r="J429" s="36"/>
      <c r="K429" s="36"/>
      <c r="L429" s="36"/>
      <c r="M429" s="36"/>
      <c r="N429" s="13"/>
      <c r="O429" s="202"/>
      <c r="P429" s="36"/>
      <c r="Q429" s="52"/>
      <c r="R429" s="52"/>
      <c r="S429" s="52"/>
      <c r="U429" s="202"/>
      <c r="V429" s="202"/>
      <c r="W429" s="202"/>
      <c r="X429" s="202"/>
      <c r="Y429" s="13"/>
      <c r="Z429" s="36"/>
      <c r="AA429" s="13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289"/>
      <c r="AO429" s="289"/>
      <c r="AP429" s="289"/>
      <c r="AQ429" s="36"/>
      <c r="AR429" s="283"/>
      <c r="AS429" s="13"/>
      <c r="AT429" s="13"/>
      <c r="AU429" s="32"/>
      <c r="AV429" s="277"/>
      <c r="AW429" s="277"/>
      <c r="AX429" s="277"/>
      <c r="AY429" s="280"/>
      <c r="AZ429" s="268"/>
      <c r="BA429" s="268"/>
      <c r="BB429" s="13"/>
      <c r="BC429" s="36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</row>
    <row r="430" spans="1:73">
      <c r="A430" s="13"/>
      <c r="B430" s="13"/>
      <c r="C430" s="13"/>
      <c r="D430" s="13"/>
      <c r="E430" s="13"/>
      <c r="F430" s="13"/>
      <c r="G430" s="36"/>
      <c r="H430" s="36"/>
      <c r="I430" s="36"/>
      <c r="J430" s="36"/>
      <c r="K430" s="36"/>
      <c r="L430" s="36"/>
      <c r="M430" s="36"/>
      <c r="N430" s="13"/>
      <c r="O430" s="202"/>
      <c r="P430" s="36"/>
      <c r="Q430" s="52"/>
      <c r="R430" s="52"/>
      <c r="S430" s="52"/>
      <c r="U430" s="202"/>
      <c r="V430" s="202"/>
      <c r="W430" s="202"/>
      <c r="X430" s="202"/>
      <c r="Y430" s="13"/>
      <c r="Z430" s="36"/>
      <c r="AA430" s="13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289"/>
      <c r="AO430" s="289"/>
      <c r="AP430" s="289"/>
      <c r="AQ430" s="36"/>
      <c r="AR430" s="283"/>
      <c r="AS430" s="13"/>
      <c r="AT430" s="13"/>
      <c r="AU430" s="32"/>
      <c r="AV430" s="277"/>
      <c r="AW430" s="277"/>
      <c r="AX430" s="277"/>
      <c r="AY430" s="280"/>
      <c r="AZ430" s="268"/>
      <c r="BA430" s="268"/>
      <c r="BB430" s="13"/>
      <c r="BC430" s="36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</row>
    <row r="431" spans="1:73">
      <c r="A431" s="13"/>
      <c r="B431" s="13"/>
      <c r="C431" s="13"/>
      <c r="D431" s="13"/>
      <c r="E431" s="13"/>
      <c r="F431" s="13"/>
      <c r="G431" s="36"/>
      <c r="H431" s="36"/>
      <c r="I431" s="36"/>
      <c r="J431" s="36"/>
      <c r="K431" s="36"/>
      <c r="L431" s="36"/>
      <c r="M431" s="36"/>
      <c r="N431" s="13"/>
      <c r="O431" s="202"/>
      <c r="P431" s="36"/>
      <c r="Q431" s="52"/>
      <c r="R431" s="52"/>
      <c r="S431" s="52"/>
      <c r="U431" s="202"/>
      <c r="V431" s="202"/>
      <c r="W431" s="202"/>
      <c r="X431" s="202"/>
      <c r="Y431" s="13"/>
      <c r="Z431" s="36"/>
      <c r="AA431" s="13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289"/>
      <c r="AO431" s="289"/>
      <c r="AP431" s="289"/>
      <c r="AQ431" s="36"/>
      <c r="AR431" s="283"/>
      <c r="AS431" s="13"/>
      <c r="AT431" s="13"/>
      <c r="AU431" s="32"/>
      <c r="AV431" s="277"/>
      <c r="AW431" s="277"/>
      <c r="AX431" s="277"/>
      <c r="AY431" s="280"/>
      <c r="AZ431" s="268"/>
      <c r="BA431" s="268"/>
      <c r="BB431" s="13"/>
      <c r="BC431" s="36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</row>
    <row r="432" spans="1:73">
      <c r="A432" s="13"/>
      <c r="B432" s="13"/>
      <c r="C432" s="13"/>
      <c r="D432" s="13"/>
      <c r="E432" s="13"/>
      <c r="F432" s="13"/>
      <c r="G432" s="36"/>
      <c r="H432" s="36"/>
      <c r="I432" s="36"/>
      <c r="J432" s="36"/>
      <c r="K432" s="36"/>
      <c r="L432" s="36"/>
      <c r="M432" s="36"/>
      <c r="N432" s="13"/>
      <c r="O432" s="202"/>
      <c r="P432" s="36"/>
      <c r="Q432" s="52"/>
      <c r="R432" s="52"/>
      <c r="S432" s="52"/>
      <c r="U432" s="202"/>
      <c r="V432" s="202"/>
      <c r="W432" s="202"/>
      <c r="X432" s="202"/>
      <c r="Y432" s="13"/>
      <c r="Z432" s="36"/>
      <c r="AA432" s="13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289"/>
      <c r="AO432" s="289"/>
      <c r="AP432" s="289"/>
      <c r="AQ432" s="36"/>
      <c r="AR432" s="283"/>
      <c r="AS432" s="13"/>
      <c r="AT432" s="13"/>
      <c r="AU432" s="32"/>
      <c r="AV432" s="277"/>
      <c r="AW432" s="277"/>
      <c r="AX432" s="277"/>
      <c r="AY432" s="280"/>
      <c r="AZ432" s="268"/>
      <c r="BA432" s="268"/>
      <c r="BB432" s="13"/>
      <c r="BC432" s="36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</row>
    <row r="433" spans="1:73">
      <c r="A433" s="13"/>
      <c r="B433" s="13"/>
      <c r="C433" s="13"/>
      <c r="D433" s="13"/>
      <c r="E433" s="13"/>
      <c r="F433" s="13"/>
      <c r="G433" s="36"/>
      <c r="H433" s="36"/>
      <c r="I433" s="36"/>
      <c r="J433" s="36"/>
      <c r="K433" s="36"/>
      <c r="L433" s="36"/>
      <c r="M433" s="36"/>
      <c r="N433" s="13"/>
      <c r="O433" s="202"/>
      <c r="P433" s="36"/>
      <c r="Q433" s="52"/>
      <c r="R433" s="52"/>
      <c r="S433" s="52"/>
      <c r="U433" s="202"/>
      <c r="V433" s="202"/>
      <c r="W433" s="202"/>
      <c r="X433" s="202"/>
      <c r="Y433" s="13"/>
      <c r="Z433" s="36"/>
      <c r="AA433" s="13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289"/>
      <c r="AO433" s="289"/>
      <c r="AP433" s="289"/>
      <c r="AQ433" s="36"/>
      <c r="AR433" s="283"/>
      <c r="AS433" s="13"/>
      <c r="AT433" s="13"/>
      <c r="AU433" s="32"/>
      <c r="AV433" s="277"/>
      <c r="AW433" s="277"/>
      <c r="AX433" s="277"/>
      <c r="AY433" s="280"/>
      <c r="AZ433" s="268"/>
      <c r="BA433" s="268"/>
      <c r="BB433" s="13"/>
      <c r="BC433" s="36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</row>
    <row r="434" spans="1:73">
      <c r="A434" s="13"/>
      <c r="B434" s="13"/>
      <c r="C434" s="13"/>
      <c r="D434" s="13"/>
      <c r="E434" s="13"/>
      <c r="F434" s="13"/>
      <c r="G434" s="36"/>
      <c r="H434" s="36"/>
      <c r="I434" s="36"/>
      <c r="J434" s="36"/>
      <c r="K434" s="36"/>
      <c r="L434" s="36"/>
      <c r="M434" s="36"/>
      <c r="N434" s="13"/>
      <c r="O434" s="202"/>
      <c r="P434" s="36"/>
      <c r="Q434" s="52"/>
      <c r="R434" s="52"/>
      <c r="S434" s="52"/>
      <c r="U434" s="202"/>
      <c r="V434" s="202"/>
      <c r="W434" s="202"/>
      <c r="X434" s="202"/>
      <c r="Y434" s="13"/>
      <c r="Z434" s="36"/>
      <c r="AA434" s="13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289"/>
      <c r="AO434" s="289"/>
      <c r="AP434" s="289"/>
      <c r="AQ434" s="36"/>
      <c r="AR434" s="283"/>
      <c r="AS434" s="13"/>
      <c r="AT434" s="13"/>
      <c r="AU434" s="32"/>
      <c r="AV434" s="277"/>
      <c r="AW434" s="277"/>
      <c r="AX434" s="277"/>
      <c r="AY434" s="280"/>
      <c r="AZ434" s="268"/>
      <c r="BA434" s="268"/>
      <c r="BB434" s="13"/>
      <c r="BC434" s="36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</row>
    <row r="435" spans="1:73">
      <c r="A435" s="13"/>
      <c r="B435" s="13"/>
      <c r="C435" s="13"/>
      <c r="D435" s="13"/>
      <c r="E435" s="13"/>
      <c r="F435" s="13"/>
      <c r="G435" s="36"/>
      <c r="H435" s="36"/>
      <c r="I435" s="36"/>
      <c r="J435" s="36"/>
      <c r="K435" s="36"/>
      <c r="L435" s="36"/>
      <c r="M435" s="36"/>
      <c r="N435" s="13"/>
      <c r="O435" s="202"/>
      <c r="P435" s="36"/>
      <c r="Q435" s="52"/>
      <c r="R435" s="52"/>
      <c r="S435" s="52"/>
      <c r="U435" s="202"/>
      <c r="V435" s="202"/>
      <c r="W435" s="202"/>
      <c r="X435" s="202"/>
      <c r="Y435" s="13"/>
      <c r="Z435" s="36"/>
      <c r="AA435" s="13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289"/>
      <c r="AO435" s="289"/>
      <c r="AP435" s="289"/>
      <c r="AQ435" s="36"/>
      <c r="AR435" s="283"/>
      <c r="AS435" s="13"/>
      <c r="AT435" s="13"/>
      <c r="AU435" s="32"/>
      <c r="AV435" s="277"/>
      <c r="AW435" s="277"/>
      <c r="AX435" s="277"/>
      <c r="AY435" s="280"/>
      <c r="AZ435" s="268"/>
      <c r="BA435" s="268"/>
      <c r="BB435" s="13"/>
      <c r="BC435" s="36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</row>
    <row r="436" spans="1:73">
      <c r="A436" s="13"/>
      <c r="B436" s="13"/>
      <c r="C436" s="13"/>
      <c r="D436" s="13"/>
      <c r="E436" s="13"/>
      <c r="F436" s="13"/>
      <c r="G436" s="36"/>
      <c r="H436" s="36"/>
      <c r="I436" s="36"/>
      <c r="J436" s="36"/>
      <c r="K436" s="36"/>
      <c r="L436" s="36"/>
      <c r="M436" s="36"/>
      <c r="N436" s="13"/>
      <c r="O436" s="202"/>
      <c r="P436" s="36"/>
      <c r="Q436" s="52"/>
      <c r="R436" s="52"/>
      <c r="S436" s="52"/>
      <c r="U436" s="202"/>
      <c r="V436" s="202"/>
      <c r="W436" s="202"/>
      <c r="X436" s="202"/>
      <c r="Y436" s="13"/>
      <c r="Z436" s="36"/>
      <c r="AA436" s="13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289"/>
      <c r="AO436" s="289"/>
      <c r="AP436" s="289"/>
      <c r="AQ436" s="36"/>
      <c r="AR436" s="283"/>
      <c r="AS436" s="13"/>
      <c r="AT436" s="13"/>
      <c r="AU436" s="32"/>
      <c r="AV436" s="277"/>
      <c r="AW436" s="277"/>
      <c r="AX436" s="277"/>
      <c r="AY436" s="280"/>
      <c r="AZ436" s="268"/>
      <c r="BA436" s="268"/>
      <c r="BB436" s="13"/>
      <c r="BC436" s="36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</row>
    <row r="437" spans="1:73">
      <c r="A437" s="13"/>
      <c r="B437" s="13"/>
      <c r="C437" s="13"/>
      <c r="D437" s="13"/>
      <c r="E437" s="13"/>
      <c r="F437" s="13"/>
      <c r="G437" s="36"/>
      <c r="H437" s="36"/>
      <c r="I437" s="36"/>
      <c r="J437" s="36"/>
      <c r="K437" s="36"/>
      <c r="L437" s="36"/>
      <c r="M437" s="36"/>
      <c r="N437" s="13"/>
      <c r="O437" s="202"/>
      <c r="P437" s="36"/>
      <c r="Q437" s="52"/>
      <c r="R437" s="52"/>
      <c r="S437" s="52"/>
      <c r="U437" s="202"/>
      <c r="V437" s="202"/>
      <c r="W437" s="202"/>
      <c r="X437" s="202"/>
      <c r="Y437" s="13"/>
      <c r="Z437" s="36"/>
      <c r="AA437" s="13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289"/>
      <c r="AO437" s="289"/>
      <c r="AP437" s="289"/>
      <c r="AQ437" s="36"/>
      <c r="AR437" s="283"/>
      <c r="AS437" s="13"/>
      <c r="AT437" s="13"/>
      <c r="AU437" s="32"/>
      <c r="AV437" s="277"/>
      <c r="AW437" s="277"/>
      <c r="AX437" s="277"/>
      <c r="AY437" s="280"/>
      <c r="AZ437" s="268"/>
      <c r="BA437" s="268"/>
      <c r="BB437" s="13"/>
      <c r="BC437" s="36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</row>
    <row r="438" spans="1:73">
      <c r="A438" s="13"/>
      <c r="B438" s="13"/>
      <c r="C438" s="13"/>
      <c r="D438" s="13"/>
      <c r="E438" s="13"/>
      <c r="F438" s="13"/>
      <c r="G438" s="36"/>
      <c r="H438" s="36"/>
      <c r="I438" s="36"/>
      <c r="J438" s="36"/>
      <c r="K438" s="36"/>
      <c r="L438" s="36"/>
      <c r="M438" s="36"/>
      <c r="N438" s="13"/>
      <c r="O438" s="202"/>
      <c r="P438" s="36"/>
      <c r="Q438" s="52"/>
      <c r="R438" s="52"/>
      <c r="S438" s="52"/>
      <c r="U438" s="202"/>
      <c r="V438" s="202"/>
      <c r="W438" s="202"/>
      <c r="X438" s="202"/>
      <c r="Y438" s="13"/>
      <c r="Z438" s="36"/>
      <c r="AA438" s="13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289"/>
      <c r="AO438" s="289"/>
      <c r="AP438" s="289"/>
      <c r="AQ438" s="36"/>
      <c r="AR438" s="283"/>
      <c r="AS438" s="13"/>
      <c r="AT438" s="13"/>
      <c r="AU438" s="32"/>
      <c r="AV438" s="277"/>
      <c r="AW438" s="277"/>
      <c r="AX438" s="277"/>
      <c r="AY438" s="280"/>
      <c r="AZ438" s="268"/>
      <c r="BA438" s="268"/>
      <c r="BB438" s="13"/>
      <c r="BC438" s="36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</row>
    <row r="439" spans="1:73">
      <c r="A439" s="13"/>
      <c r="B439" s="13"/>
      <c r="C439" s="13"/>
      <c r="D439" s="13"/>
      <c r="E439" s="13"/>
      <c r="F439" s="13"/>
      <c r="G439" s="36"/>
      <c r="H439" s="36"/>
      <c r="I439" s="36"/>
      <c r="J439" s="36"/>
      <c r="K439" s="36"/>
      <c r="L439" s="36"/>
      <c r="M439" s="36"/>
      <c r="N439" s="13"/>
      <c r="O439" s="202"/>
      <c r="P439" s="36"/>
      <c r="Q439" s="52"/>
      <c r="R439" s="52"/>
      <c r="S439" s="52"/>
      <c r="U439" s="202"/>
      <c r="V439" s="202"/>
      <c r="W439" s="202"/>
      <c r="X439" s="202"/>
      <c r="Y439" s="13"/>
      <c r="Z439" s="36"/>
      <c r="AA439" s="13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289"/>
      <c r="AO439" s="289"/>
      <c r="AP439" s="289"/>
      <c r="AQ439" s="36"/>
      <c r="AR439" s="283"/>
      <c r="AS439" s="13"/>
      <c r="AT439" s="13"/>
      <c r="AU439" s="32"/>
      <c r="AV439" s="277"/>
      <c r="AW439" s="277"/>
      <c r="AX439" s="277"/>
      <c r="AY439" s="280"/>
      <c r="AZ439" s="268"/>
      <c r="BA439" s="268"/>
      <c r="BB439" s="13"/>
      <c r="BC439" s="36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</row>
    <row r="440" spans="1:73">
      <c r="A440" s="13"/>
      <c r="B440" s="13"/>
      <c r="C440" s="13"/>
      <c r="D440" s="13"/>
      <c r="E440" s="13"/>
      <c r="F440" s="13"/>
      <c r="G440" s="36"/>
      <c r="H440" s="36"/>
      <c r="I440" s="36"/>
      <c r="J440" s="36"/>
      <c r="K440" s="36"/>
      <c r="L440" s="36"/>
      <c r="M440" s="36"/>
      <c r="N440" s="13"/>
      <c r="O440" s="202"/>
      <c r="P440" s="36"/>
      <c r="Q440" s="52"/>
      <c r="R440" s="52"/>
      <c r="S440" s="52"/>
      <c r="U440" s="202"/>
      <c r="V440" s="202"/>
      <c r="W440" s="202"/>
      <c r="X440" s="202"/>
      <c r="Y440" s="13"/>
      <c r="Z440" s="36"/>
      <c r="AA440" s="13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289"/>
      <c r="AO440" s="289"/>
      <c r="AP440" s="289"/>
      <c r="AQ440" s="36"/>
      <c r="AR440" s="283"/>
      <c r="AS440" s="13"/>
      <c r="AT440" s="13"/>
      <c r="AU440" s="32"/>
      <c r="AV440" s="277"/>
      <c r="AW440" s="277"/>
      <c r="AX440" s="277"/>
      <c r="AY440" s="280"/>
      <c r="AZ440" s="268"/>
      <c r="BA440" s="268"/>
      <c r="BB440" s="13"/>
      <c r="BC440" s="36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</row>
    <row r="441" spans="1:73">
      <c r="A441" s="13"/>
      <c r="B441" s="13"/>
      <c r="C441" s="13"/>
      <c r="D441" s="13"/>
      <c r="E441" s="13"/>
      <c r="F441" s="13"/>
      <c r="G441" s="36"/>
      <c r="H441" s="36"/>
      <c r="I441" s="36"/>
      <c r="J441" s="36"/>
      <c r="K441" s="36"/>
      <c r="L441" s="36"/>
      <c r="M441" s="36"/>
      <c r="N441" s="13"/>
      <c r="O441" s="202"/>
      <c r="P441" s="36"/>
      <c r="Q441" s="52"/>
      <c r="R441" s="52"/>
      <c r="S441" s="52"/>
      <c r="U441" s="202"/>
      <c r="V441" s="202"/>
      <c r="W441" s="202"/>
      <c r="X441" s="202"/>
      <c r="Y441" s="13"/>
      <c r="Z441" s="36"/>
      <c r="AA441" s="13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289"/>
      <c r="AO441" s="289"/>
      <c r="AP441" s="289"/>
      <c r="AQ441" s="36"/>
      <c r="AR441" s="283"/>
      <c r="AS441" s="13"/>
      <c r="AT441" s="13"/>
      <c r="AU441" s="32"/>
      <c r="AV441" s="277"/>
      <c r="AW441" s="277"/>
      <c r="AX441" s="277"/>
      <c r="AY441" s="280"/>
      <c r="AZ441" s="268"/>
      <c r="BA441" s="268"/>
      <c r="BB441" s="13"/>
      <c r="BC441" s="36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</row>
    <row r="442" spans="1:73">
      <c r="A442" s="13"/>
      <c r="B442" s="13"/>
      <c r="C442" s="13"/>
      <c r="D442" s="13"/>
      <c r="E442" s="13"/>
      <c r="F442" s="13"/>
      <c r="G442" s="36"/>
      <c r="H442" s="36"/>
      <c r="I442" s="36"/>
      <c r="J442" s="36"/>
      <c r="K442" s="36"/>
      <c r="L442" s="36"/>
      <c r="M442" s="36"/>
      <c r="N442" s="13"/>
      <c r="O442" s="202"/>
      <c r="P442" s="36"/>
      <c r="Q442" s="52"/>
      <c r="R442" s="52"/>
      <c r="S442" s="52"/>
      <c r="U442" s="202"/>
      <c r="V442" s="202"/>
      <c r="W442" s="202"/>
      <c r="X442" s="202"/>
      <c r="Y442" s="13"/>
      <c r="Z442" s="36"/>
      <c r="AA442" s="13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289"/>
      <c r="AO442" s="289"/>
      <c r="AP442" s="289"/>
      <c r="AQ442" s="36"/>
      <c r="AR442" s="283"/>
      <c r="AS442" s="13"/>
      <c r="AT442" s="13"/>
      <c r="AU442" s="32"/>
      <c r="AV442" s="277"/>
      <c r="AW442" s="277"/>
      <c r="AX442" s="277"/>
      <c r="AY442" s="280"/>
      <c r="AZ442" s="268"/>
      <c r="BA442" s="268"/>
      <c r="BB442" s="13"/>
      <c r="BC442" s="36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</row>
    <row r="443" spans="1:73">
      <c r="A443" s="13"/>
      <c r="B443" s="13"/>
      <c r="C443" s="13"/>
      <c r="D443" s="13"/>
      <c r="E443" s="13"/>
      <c r="F443" s="13"/>
      <c r="G443" s="36"/>
      <c r="H443" s="36"/>
      <c r="I443" s="36"/>
      <c r="J443" s="36"/>
      <c r="K443" s="36"/>
      <c r="L443" s="36"/>
      <c r="M443" s="36"/>
      <c r="N443" s="13"/>
      <c r="O443" s="202"/>
      <c r="P443" s="36"/>
      <c r="Q443" s="52"/>
      <c r="R443" s="52"/>
      <c r="S443" s="52"/>
      <c r="U443" s="202"/>
      <c r="V443" s="202"/>
      <c r="W443" s="202"/>
      <c r="X443" s="202"/>
      <c r="Y443" s="13"/>
      <c r="Z443" s="36"/>
      <c r="AA443" s="13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289"/>
      <c r="AO443" s="289"/>
      <c r="AP443" s="289"/>
      <c r="AQ443" s="36"/>
      <c r="AR443" s="283"/>
      <c r="AS443" s="13"/>
      <c r="AT443" s="13"/>
      <c r="AU443" s="32"/>
      <c r="AV443" s="277"/>
      <c r="AW443" s="277"/>
      <c r="AX443" s="277"/>
      <c r="AY443" s="280"/>
      <c r="AZ443" s="268"/>
      <c r="BA443" s="268"/>
      <c r="BB443" s="13"/>
      <c r="BC443" s="36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</row>
    <row r="444" spans="1:73">
      <c r="A444" s="13"/>
      <c r="B444" s="13"/>
      <c r="C444" s="13"/>
      <c r="D444" s="13"/>
      <c r="E444" s="13"/>
      <c r="F444" s="13"/>
      <c r="G444" s="36"/>
      <c r="H444" s="36"/>
      <c r="I444" s="36"/>
      <c r="J444" s="36"/>
      <c r="K444" s="36"/>
      <c r="L444" s="36"/>
      <c r="M444" s="36"/>
      <c r="N444" s="13"/>
      <c r="O444" s="202"/>
      <c r="P444" s="36"/>
      <c r="Q444" s="52"/>
      <c r="R444" s="52"/>
      <c r="S444" s="52"/>
      <c r="U444" s="202"/>
      <c r="V444" s="202"/>
      <c r="W444" s="202"/>
      <c r="X444" s="202"/>
      <c r="Y444" s="13"/>
      <c r="Z444" s="36"/>
      <c r="AA444" s="13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289"/>
      <c r="AO444" s="289"/>
      <c r="AP444" s="289"/>
      <c r="AQ444" s="36"/>
      <c r="AR444" s="283"/>
      <c r="AS444" s="13"/>
      <c r="AT444" s="13"/>
      <c r="AU444" s="32"/>
      <c r="AV444" s="277"/>
      <c r="AW444" s="277"/>
      <c r="AX444" s="277"/>
      <c r="AY444" s="280"/>
      <c r="AZ444" s="268"/>
      <c r="BA444" s="268"/>
      <c r="BB444" s="13"/>
      <c r="BC444" s="36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</row>
    <row r="445" spans="1:73">
      <c r="A445" s="13"/>
      <c r="B445" s="13"/>
      <c r="C445" s="13"/>
      <c r="D445" s="13"/>
      <c r="E445" s="13"/>
      <c r="F445" s="13"/>
      <c r="G445" s="36"/>
      <c r="H445" s="36"/>
      <c r="I445" s="36"/>
      <c r="J445" s="36"/>
      <c r="K445" s="36"/>
      <c r="L445" s="36"/>
      <c r="M445" s="36"/>
      <c r="N445" s="13"/>
      <c r="O445" s="202"/>
      <c r="P445" s="36"/>
      <c r="Q445" s="52"/>
      <c r="R445" s="52"/>
      <c r="S445" s="52"/>
      <c r="U445" s="202"/>
      <c r="V445" s="202"/>
      <c r="W445" s="202"/>
      <c r="X445" s="202"/>
      <c r="Y445" s="13"/>
      <c r="Z445" s="36"/>
      <c r="AA445" s="13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289"/>
      <c r="AO445" s="289"/>
      <c r="AP445" s="289"/>
      <c r="AQ445" s="36"/>
      <c r="AR445" s="283"/>
      <c r="AS445" s="13"/>
      <c r="AT445" s="13"/>
      <c r="AU445" s="32"/>
      <c r="AV445" s="277"/>
      <c r="AW445" s="277"/>
      <c r="AX445" s="277"/>
      <c r="AY445" s="280"/>
      <c r="AZ445" s="268"/>
      <c r="BA445" s="268"/>
      <c r="BB445" s="13"/>
      <c r="BC445" s="36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</row>
    <row r="446" spans="1:73">
      <c r="A446" s="13"/>
      <c r="B446" s="13"/>
      <c r="C446" s="13"/>
      <c r="D446" s="13"/>
      <c r="E446" s="13"/>
      <c r="F446" s="13"/>
      <c r="G446" s="36"/>
      <c r="H446" s="36"/>
      <c r="I446" s="36"/>
      <c r="J446" s="36"/>
      <c r="K446" s="36"/>
      <c r="L446" s="36"/>
      <c r="M446" s="36"/>
      <c r="N446" s="13"/>
      <c r="O446" s="202"/>
      <c r="P446" s="36"/>
      <c r="Q446" s="52"/>
      <c r="R446" s="52"/>
      <c r="S446" s="52"/>
      <c r="U446" s="202"/>
      <c r="V446" s="202"/>
      <c r="W446" s="202"/>
      <c r="X446" s="202"/>
      <c r="Y446" s="13"/>
      <c r="Z446" s="36"/>
      <c r="AA446" s="13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289"/>
      <c r="AO446" s="289"/>
      <c r="AP446" s="289"/>
      <c r="AQ446" s="36"/>
      <c r="AR446" s="283"/>
      <c r="AS446" s="13"/>
      <c r="AT446" s="13"/>
      <c r="AU446" s="32"/>
      <c r="AV446" s="277"/>
      <c r="AW446" s="277"/>
      <c r="AX446" s="277"/>
      <c r="AY446" s="280"/>
      <c r="AZ446" s="268"/>
      <c r="BA446" s="268"/>
      <c r="BB446" s="13"/>
      <c r="BC446" s="36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</row>
    <row r="447" spans="1:73">
      <c r="A447" s="13"/>
      <c r="B447" s="13"/>
      <c r="C447" s="13"/>
      <c r="D447" s="13"/>
      <c r="E447" s="13"/>
      <c r="F447" s="13"/>
      <c r="G447" s="36"/>
      <c r="H447" s="36"/>
      <c r="I447" s="36"/>
      <c r="J447" s="36"/>
      <c r="K447" s="36"/>
      <c r="L447" s="36"/>
      <c r="M447" s="36"/>
      <c r="N447" s="13"/>
      <c r="O447" s="202"/>
      <c r="P447" s="36"/>
      <c r="Q447" s="52"/>
      <c r="R447" s="52"/>
      <c r="S447" s="52"/>
      <c r="U447" s="202"/>
      <c r="V447" s="202"/>
      <c r="W447" s="202"/>
      <c r="X447" s="202"/>
      <c r="Y447" s="13"/>
      <c r="Z447" s="36"/>
      <c r="AA447" s="13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289"/>
      <c r="AO447" s="289"/>
      <c r="AP447" s="289"/>
      <c r="AQ447" s="36"/>
      <c r="AR447" s="283"/>
      <c r="AS447" s="13"/>
      <c r="AT447" s="13"/>
      <c r="AU447" s="32"/>
      <c r="AV447" s="277"/>
      <c r="AW447" s="277"/>
      <c r="AX447" s="277"/>
      <c r="AY447" s="280"/>
      <c r="AZ447" s="268"/>
      <c r="BA447" s="268"/>
      <c r="BB447" s="13"/>
      <c r="BC447" s="36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</row>
    <row r="448" spans="1:73">
      <c r="A448" s="13"/>
      <c r="B448" s="13"/>
      <c r="C448" s="13"/>
      <c r="D448" s="13"/>
      <c r="E448" s="13"/>
      <c r="F448" s="13"/>
      <c r="G448" s="36"/>
      <c r="H448" s="36"/>
      <c r="I448" s="36"/>
      <c r="J448" s="36"/>
      <c r="K448" s="36"/>
      <c r="L448" s="36"/>
      <c r="M448" s="36"/>
      <c r="N448" s="13"/>
      <c r="O448" s="202"/>
      <c r="P448" s="36"/>
      <c r="Q448" s="52"/>
      <c r="R448" s="52"/>
      <c r="S448" s="52"/>
      <c r="U448" s="202"/>
      <c r="V448" s="202"/>
      <c r="W448" s="202"/>
      <c r="X448" s="202"/>
      <c r="Y448" s="13"/>
      <c r="Z448" s="36"/>
      <c r="AA448" s="13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289"/>
      <c r="AO448" s="289"/>
      <c r="AP448" s="289"/>
      <c r="AQ448" s="36"/>
      <c r="AR448" s="283"/>
      <c r="AS448" s="13"/>
      <c r="AT448" s="13"/>
      <c r="AU448" s="32"/>
      <c r="AV448" s="277"/>
      <c r="AW448" s="277"/>
      <c r="AX448" s="277"/>
      <c r="AY448" s="280"/>
      <c r="AZ448" s="268"/>
      <c r="BA448" s="268"/>
      <c r="BB448" s="13"/>
      <c r="BC448" s="36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</row>
    <row r="449" spans="1:73">
      <c r="A449" s="13"/>
      <c r="B449" s="13"/>
      <c r="C449" s="13"/>
      <c r="D449" s="13"/>
      <c r="E449" s="13"/>
      <c r="F449" s="13"/>
      <c r="G449" s="36"/>
      <c r="H449" s="36"/>
      <c r="I449" s="36"/>
      <c r="J449" s="36"/>
      <c r="K449" s="36"/>
      <c r="L449" s="36"/>
      <c r="M449" s="36"/>
      <c r="N449" s="13"/>
      <c r="O449" s="202"/>
      <c r="P449" s="36"/>
      <c r="Q449" s="52"/>
      <c r="R449" s="52"/>
      <c r="S449" s="52"/>
      <c r="U449" s="202"/>
      <c r="V449" s="202"/>
      <c r="W449" s="202"/>
      <c r="X449" s="202"/>
      <c r="Y449" s="13"/>
      <c r="Z449" s="36"/>
      <c r="AA449" s="13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289"/>
      <c r="AO449" s="289"/>
      <c r="AP449" s="289"/>
      <c r="AQ449" s="36"/>
      <c r="AR449" s="283"/>
      <c r="AS449" s="13"/>
      <c r="AT449" s="13"/>
      <c r="AU449" s="32"/>
      <c r="AV449" s="277"/>
      <c r="AW449" s="277"/>
      <c r="AX449" s="277"/>
      <c r="AY449" s="280"/>
      <c r="AZ449" s="268"/>
      <c r="BA449" s="268"/>
      <c r="BB449" s="13"/>
      <c r="BC449" s="36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</row>
    <row r="450" spans="1:73">
      <c r="A450" s="13"/>
      <c r="B450" s="13"/>
      <c r="C450" s="13"/>
      <c r="D450" s="13"/>
      <c r="E450" s="13"/>
      <c r="F450" s="13"/>
      <c r="G450" s="36"/>
      <c r="H450" s="36"/>
      <c r="I450" s="36"/>
      <c r="J450" s="36"/>
      <c r="K450" s="36"/>
      <c r="L450" s="36"/>
      <c r="M450" s="36"/>
      <c r="N450" s="13"/>
      <c r="O450" s="202"/>
      <c r="P450" s="36"/>
      <c r="Q450" s="52"/>
      <c r="R450" s="52"/>
      <c r="S450" s="52"/>
      <c r="U450" s="202"/>
      <c r="V450" s="202"/>
      <c r="W450" s="202"/>
      <c r="X450" s="202"/>
      <c r="Y450" s="13"/>
      <c r="Z450" s="36"/>
      <c r="AA450" s="13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289"/>
      <c r="AO450" s="289"/>
      <c r="AP450" s="289"/>
      <c r="AQ450" s="36"/>
      <c r="AR450" s="283"/>
      <c r="AS450" s="13"/>
      <c r="AT450" s="13"/>
      <c r="AU450" s="32"/>
      <c r="AV450" s="277"/>
      <c r="AW450" s="277"/>
      <c r="AX450" s="277"/>
      <c r="AY450" s="280"/>
      <c r="AZ450" s="268"/>
      <c r="BA450" s="268"/>
      <c r="BB450" s="13"/>
      <c r="BC450" s="36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</row>
    <row r="451" spans="1:73">
      <c r="A451" s="13"/>
      <c r="B451" s="13"/>
      <c r="C451" s="13"/>
      <c r="D451" s="13"/>
      <c r="E451" s="13"/>
      <c r="F451" s="13"/>
      <c r="G451" s="36"/>
      <c r="H451" s="36"/>
      <c r="I451" s="36"/>
      <c r="J451" s="36"/>
      <c r="K451" s="36"/>
      <c r="L451" s="36"/>
      <c r="M451" s="36"/>
      <c r="N451" s="13"/>
      <c r="O451" s="202"/>
      <c r="P451" s="36"/>
      <c r="Q451" s="52"/>
      <c r="R451" s="52"/>
      <c r="S451" s="52"/>
      <c r="U451" s="202"/>
      <c r="V451" s="202"/>
      <c r="W451" s="202"/>
      <c r="X451" s="202"/>
      <c r="Y451" s="13"/>
      <c r="Z451" s="36"/>
      <c r="AA451" s="13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289"/>
      <c r="AO451" s="289"/>
      <c r="AP451" s="289"/>
      <c r="AQ451" s="36"/>
      <c r="AR451" s="283"/>
      <c r="AS451" s="13"/>
      <c r="AT451" s="13"/>
      <c r="AU451" s="32"/>
      <c r="AV451" s="277"/>
      <c r="AW451" s="277"/>
      <c r="AX451" s="277"/>
      <c r="AY451" s="280"/>
      <c r="AZ451" s="268"/>
      <c r="BA451" s="268"/>
      <c r="BB451" s="13"/>
      <c r="BC451" s="36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</row>
    <row r="452" spans="1:73">
      <c r="A452" s="13"/>
      <c r="B452" s="13"/>
      <c r="C452" s="13"/>
      <c r="D452" s="13"/>
      <c r="E452" s="13"/>
      <c r="F452" s="13"/>
      <c r="G452" s="36"/>
      <c r="H452" s="36"/>
      <c r="I452" s="36"/>
      <c r="J452" s="36"/>
      <c r="K452" s="36"/>
      <c r="L452" s="36"/>
      <c r="M452" s="36"/>
      <c r="N452" s="13"/>
      <c r="O452" s="202"/>
      <c r="P452" s="36"/>
      <c r="Q452" s="52"/>
      <c r="R452" s="52"/>
      <c r="S452" s="52"/>
      <c r="U452" s="202"/>
      <c r="V452" s="202"/>
      <c r="W452" s="202"/>
      <c r="X452" s="202"/>
      <c r="Y452" s="13"/>
      <c r="Z452" s="36"/>
      <c r="AA452" s="13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289"/>
      <c r="AO452" s="289"/>
      <c r="AP452" s="289"/>
      <c r="AQ452" s="36"/>
      <c r="AR452" s="283"/>
      <c r="AS452" s="13"/>
      <c r="AT452" s="13"/>
      <c r="AU452" s="32"/>
      <c r="AV452" s="277"/>
      <c r="AW452" s="277"/>
      <c r="AX452" s="277"/>
      <c r="AY452" s="280"/>
      <c r="AZ452" s="268"/>
      <c r="BA452" s="268"/>
      <c r="BB452" s="13"/>
      <c r="BC452" s="36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</row>
    <row r="453" spans="1:73">
      <c r="A453" s="13"/>
      <c r="B453" s="13"/>
      <c r="C453" s="13"/>
      <c r="D453" s="13"/>
      <c r="E453" s="13"/>
      <c r="F453" s="13"/>
      <c r="G453" s="36"/>
      <c r="H453" s="36"/>
      <c r="I453" s="36"/>
      <c r="J453" s="36"/>
      <c r="K453" s="36"/>
      <c r="L453" s="36"/>
      <c r="M453" s="36"/>
      <c r="N453" s="13"/>
      <c r="O453" s="202"/>
      <c r="P453" s="36"/>
      <c r="Q453" s="52"/>
      <c r="R453" s="52"/>
      <c r="S453" s="52"/>
      <c r="U453" s="202"/>
      <c r="V453" s="202"/>
      <c r="W453" s="202"/>
      <c r="X453" s="202"/>
      <c r="Y453" s="13"/>
      <c r="Z453" s="36"/>
      <c r="AA453" s="13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289"/>
      <c r="AO453" s="289"/>
      <c r="AP453" s="289"/>
      <c r="AQ453" s="36"/>
      <c r="AR453" s="283"/>
      <c r="AS453" s="13"/>
      <c r="AT453" s="13"/>
      <c r="AU453" s="32"/>
      <c r="AV453" s="277"/>
      <c r="AW453" s="277"/>
      <c r="AX453" s="277"/>
      <c r="AY453" s="280"/>
      <c r="AZ453" s="268"/>
      <c r="BA453" s="268"/>
      <c r="BB453" s="13"/>
      <c r="BC453" s="36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</row>
    <row r="454" spans="1:73">
      <c r="A454" s="13"/>
      <c r="B454" s="13"/>
      <c r="C454" s="13"/>
      <c r="D454" s="13"/>
      <c r="E454" s="13"/>
      <c r="F454" s="13"/>
      <c r="G454" s="36"/>
      <c r="H454" s="36"/>
      <c r="I454" s="36"/>
      <c r="J454" s="36"/>
      <c r="K454" s="36"/>
      <c r="L454" s="36"/>
      <c r="M454" s="36"/>
      <c r="N454" s="13"/>
      <c r="O454" s="202"/>
      <c r="P454" s="36"/>
      <c r="Q454" s="52"/>
      <c r="R454" s="52"/>
      <c r="S454" s="52"/>
      <c r="U454" s="202"/>
      <c r="V454" s="202"/>
      <c r="W454" s="202"/>
      <c r="X454" s="202"/>
      <c r="Y454" s="13"/>
      <c r="Z454" s="36"/>
      <c r="AA454" s="13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289"/>
      <c r="AO454" s="289"/>
      <c r="AP454" s="289"/>
      <c r="AQ454" s="36"/>
      <c r="AR454" s="283"/>
      <c r="AS454" s="13"/>
      <c r="AT454" s="13"/>
      <c r="AU454" s="32"/>
      <c r="AV454" s="277"/>
      <c r="AW454" s="277"/>
      <c r="AX454" s="277"/>
      <c r="AY454" s="280"/>
      <c r="AZ454" s="268"/>
      <c r="BA454" s="268"/>
      <c r="BB454" s="13"/>
      <c r="BC454" s="36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</row>
    <row r="455" spans="1:73">
      <c r="A455" s="13"/>
      <c r="B455" s="13"/>
      <c r="C455" s="13"/>
      <c r="D455" s="13"/>
      <c r="E455" s="13"/>
      <c r="F455" s="13"/>
      <c r="G455" s="36"/>
      <c r="H455" s="36"/>
      <c r="I455" s="36"/>
      <c r="J455" s="36"/>
      <c r="K455" s="36"/>
      <c r="L455" s="36"/>
      <c r="M455" s="36"/>
      <c r="N455" s="13"/>
      <c r="O455" s="202"/>
      <c r="P455" s="36"/>
      <c r="Q455" s="52"/>
      <c r="R455" s="52"/>
      <c r="S455" s="52"/>
      <c r="U455" s="202"/>
      <c r="V455" s="202"/>
      <c r="W455" s="202"/>
      <c r="X455" s="202"/>
      <c r="Y455" s="13"/>
      <c r="Z455" s="36"/>
      <c r="AA455" s="13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289"/>
      <c r="AO455" s="289"/>
      <c r="AP455" s="289"/>
      <c r="AQ455" s="36"/>
      <c r="AR455" s="283"/>
      <c r="AS455" s="13"/>
      <c r="AT455" s="13"/>
      <c r="AU455" s="32"/>
      <c r="AV455" s="277"/>
      <c r="AW455" s="277"/>
      <c r="AX455" s="277"/>
      <c r="AY455" s="280"/>
      <c r="AZ455" s="268"/>
      <c r="BA455" s="268"/>
      <c r="BB455" s="13"/>
      <c r="BC455" s="36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</row>
    <row r="456" spans="1:73">
      <c r="A456" s="13"/>
      <c r="B456" s="13"/>
      <c r="C456" s="13"/>
      <c r="D456" s="13"/>
      <c r="E456" s="13"/>
      <c r="F456" s="13"/>
      <c r="G456" s="36"/>
      <c r="H456" s="36"/>
      <c r="I456" s="36"/>
      <c r="J456" s="36"/>
      <c r="K456" s="36"/>
      <c r="L456" s="36"/>
      <c r="M456" s="36"/>
      <c r="N456" s="13"/>
      <c r="O456" s="202"/>
      <c r="P456" s="36"/>
      <c r="Q456" s="52"/>
      <c r="R456" s="52"/>
      <c r="S456" s="52"/>
      <c r="U456" s="202"/>
      <c r="V456" s="202"/>
      <c r="W456" s="202"/>
      <c r="X456" s="202"/>
      <c r="Y456" s="13"/>
      <c r="Z456" s="36"/>
      <c r="AA456" s="13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289"/>
      <c r="AO456" s="289"/>
      <c r="AP456" s="289"/>
      <c r="AQ456" s="36"/>
      <c r="AR456" s="283"/>
      <c r="AS456" s="13"/>
      <c r="AT456" s="13"/>
      <c r="AU456" s="32"/>
      <c r="AV456" s="277"/>
      <c r="AW456" s="277"/>
      <c r="AX456" s="277"/>
      <c r="AY456" s="280"/>
      <c r="AZ456" s="268"/>
      <c r="BA456" s="268"/>
      <c r="BB456" s="13"/>
      <c r="BC456" s="36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</row>
    <row r="457" spans="1:73">
      <c r="A457" s="13"/>
      <c r="B457" s="13"/>
      <c r="C457" s="13"/>
      <c r="D457" s="13"/>
      <c r="E457" s="13"/>
      <c r="F457" s="13"/>
      <c r="G457" s="36"/>
      <c r="H457" s="36"/>
      <c r="I457" s="36"/>
      <c r="J457" s="36"/>
      <c r="K457" s="36"/>
      <c r="L457" s="36"/>
      <c r="M457" s="36"/>
      <c r="N457" s="13"/>
      <c r="O457" s="202"/>
      <c r="P457" s="36"/>
      <c r="Q457" s="52"/>
      <c r="R457" s="52"/>
      <c r="S457" s="52"/>
      <c r="U457" s="202"/>
      <c r="V457" s="202"/>
      <c r="W457" s="202"/>
      <c r="X457" s="202"/>
      <c r="Y457" s="13"/>
      <c r="Z457" s="36"/>
      <c r="AA457" s="13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289"/>
      <c r="AO457" s="289"/>
      <c r="AP457" s="289"/>
      <c r="AQ457" s="36"/>
      <c r="AR457" s="283"/>
      <c r="AS457" s="13"/>
      <c r="AT457" s="13"/>
      <c r="AU457" s="32"/>
      <c r="AV457" s="277"/>
      <c r="AW457" s="277"/>
      <c r="AX457" s="277"/>
      <c r="AY457" s="280"/>
      <c r="AZ457" s="268"/>
      <c r="BA457" s="268"/>
      <c r="BB457" s="13"/>
      <c r="BC457" s="36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</row>
    <row r="458" spans="1:73">
      <c r="A458" s="13"/>
      <c r="B458" s="13"/>
      <c r="C458" s="13"/>
      <c r="D458" s="13"/>
      <c r="E458" s="13"/>
      <c r="F458" s="13"/>
      <c r="G458" s="36"/>
      <c r="H458" s="36"/>
      <c r="I458" s="36"/>
      <c r="J458" s="36"/>
      <c r="K458" s="36"/>
      <c r="L458" s="36"/>
      <c r="M458" s="36"/>
      <c r="N458" s="13"/>
      <c r="O458" s="202"/>
      <c r="P458" s="36"/>
      <c r="Q458" s="52"/>
      <c r="R458" s="52"/>
      <c r="S458" s="52"/>
      <c r="U458" s="202"/>
      <c r="V458" s="202"/>
      <c r="W458" s="202"/>
      <c r="X458" s="202"/>
      <c r="Y458" s="13"/>
      <c r="Z458" s="36"/>
      <c r="AA458" s="13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289"/>
      <c r="AO458" s="289"/>
      <c r="AP458" s="289"/>
      <c r="AQ458" s="36"/>
      <c r="AR458" s="283"/>
      <c r="AS458" s="13"/>
      <c r="AT458" s="13"/>
      <c r="AU458" s="32"/>
      <c r="AV458" s="277"/>
      <c r="AW458" s="277"/>
      <c r="AX458" s="277"/>
      <c r="AY458" s="280"/>
      <c r="AZ458" s="268"/>
      <c r="BA458" s="268"/>
      <c r="BB458" s="13"/>
      <c r="BC458" s="36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</row>
    <row r="459" spans="1:73">
      <c r="A459" s="13"/>
      <c r="B459" s="13"/>
      <c r="C459" s="13"/>
      <c r="D459" s="13"/>
      <c r="E459" s="13"/>
      <c r="F459" s="13"/>
      <c r="G459" s="36"/>
      <c r="H459" s="36"/>
      <c r="I459" s="36"/>
      <c r="J459" s="36"/>
      <c r="K459" s="36"/>
      <c r="L459" s="36"/>
      <c r="M459" s="36"/>
      <c r="N459" s="13"/>
      <c r="O459" s="202"/>
      <c r="P459" s="36"/>
      <c r="Q459" s="52"/>
      <c r="R459" s="52"/>
      <c r="S459" s="52"/>
      <c r="U459" s="202"/>
      <c r="V459" s="202"/>
      <c r="W459" s="202"/>
      <c r="X459" s="202"/>
      <c r="Y459" s="13"/>
      <c r="Z459" s="36"/>
      <c r="AA459" s="13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289"/>
      <c r="AO459" s="289"/>
      <c r="AP459" s="289"/>
      <c r="AQ459" s="36"/>
      <c r="AR459" s="283"/>
      <c r="AS459" s="13"/>
      <c r="AT459" s="13"/>
      <c r="AU459" s="32"/>
      <c r="AV459" s="277"/>
      <c r="AW459" s="277"/>
      <c r="AX459" s="277"/>
      <c r="AY459" s="280"/>
      <c r="AZ459" s="268"/>
      <c r="BA459" s="268"/>
      <c r="BB459" s="13"/>
      <c r="BC459" s="36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</row>
    <row r="460" spans="1:73">
      <c r="A460" s="13"/>
      <c r="B460" s="13"/>
      <c r="C460" s="13"/>
      <c r="D460" s="13"/>
      <c r="E460" s="13"/>
      <c r="F460" s="13"/>
      <c r="G460" s="36"/>
      <c r="H460" s="36"/>
      <c r="I460" s="36"/>
      <c r="J460" s="36"/>
      <c r="K460" s="36"/>
      <c r="L460" s="36"/>
      <c r="M460" s="36"/>
      <c r="N460" s="13"/>
      <c r="O460" s="202"/>
      <c r="P460" s="36"/>
      <c r="Q460" s="52"/>
      <c r="R460" s="52"/>
      <c r="S460" s="52"/>
      <c r="U460" s="202"/>
      <c r="V460" s="202"/>
      <c r="W460" s="202"/>
      <c r="X460" s="202"/>
      <c r="Y460" s="13"/>
      <c r="Z460" s="36"/>
      <c r="AA460" s="13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289"/>
      <c r="AO460" s="289"/>
      <c r="AP460" s="289"/>
      <c r="AQ460" s="36"/>
      <c r="AR460" s="283"/>
      <c r="AS460" s="13"/>
      <c r="AT460" s="13"/>
      <c r="AU460" s="32"/>
      <c r="AV460" s="277"/>
      <c r="AW460" s="277"/>
      <c r="AX460" s="277"/>
      <c r="AY460" s="280"/>
      <c r="AZ460" s="268"/>
      <c r="BA460" s="268"/>
      <c r="BB460" s="13"/>
      <c r="BC460" s="36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</row>
    <row r="461" spans="1:73">
      <c r="A461" s="13"/>
      <c r="B461" s="13"/>
      <c r="C461" s="13"/>
      <c r="D461" s="13"/>
      <c r="E461" s="13"/>
      <c r="F461" s="13"/>
      <c r="G461" s="36"/>
      <c r="H461" s="36"/>
      <c r="I461" s="36"/>
      <c r="J461" s="36"/>
      <c r="K461" s="36"/>
      <c r="L461" s="36"/>
      <c r="M461" s="36"/>
      <c r="N461" s="13"/>
      <c r="O461" s="202"/>
      <c r="P461" s="36"/>
      <c r="Q461" s="52"/>
      <c r="R461" s="52"/>
      <c r="S461" s="52"/>
      <c r="U461" s="202"/>
      <c r="V461" s="202"/>
      <c r="W461" s="202"/>
      <c r="X461" s="202"/>
      <c r="Y461" s="13"/>
      <c r="Z461" s="36"/>
      <c r="AA461" s="13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289"/>
      <c r="AO461" s="289"/>
      <c r="AP461" s="289"/>
      <c r="AQ461" s="36"/>
      <c r="AR461" s="283"/>
      <c r="AS461" s="13"/>
      <c r="AT461" s="13"/>
      <c r="AU461" s="32"/>
      <c r="AV461" s="277"/>
      <c r="AW461" s="277"/>
      <c r="AX461" s="277"/>
      <c r="AY461" s="280"/>
      <c r="AZ461" s="268"/>
      <c r="BA461" s="268"/>
      <c r="BB461" s="13"/>
      <c r="BC461" s="36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</row>
    <row r="462" spans="1:73">
      <c r="A462" s="13"/>
      <c r="B462" s="13"/>
      <c r="C462" s="13"/>
      <c r="D462" s="13"/>
      <c r="E462" s="13"/>
      <c r="F462" s="13"/>
      <c r="G462" s="36"/>
      <c r="H462" s="36"/>
      <c r="I462" s="36"/>
      <c r="J462" s="36"/>
      <c r="K462" s="36"/>
      <c r="L462" s="36"/>
      <c r="M462" s="36"/>
      <c r="N462" s="13"/>
      <c r="O462" s="202"/>
      <c r="P462" s="36"/>
      <c r="Q462" s="52"/>
      <c r="R462" s="52"/>
      <c r="S462" s="52"/>
      <c r="U462" s="202"/>
      <c r="V462" s="202"/>
      <c r="W462" s="202"/>
      <c r="X462" s="202"/>
      <c r="Y462" s="13"/>
      <c r="Z462" s="36"/>
      <c r="AA462" s="13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289"/>
      <c r="AO462" s="289"/>
      <c r="AP462" s="289"/>
      <c r="AQ462" s="36"/>
      <c r="AR462" s="283"/>
      <c r="AS462" s="13"/>
      <c r="AT462" s="13"/>
      <c r="AU462" s="32"/>
      <c r="AV462" s="277"/>
      <c r="AW462" s="277"/>
      <c r="AX462" s="277"/>
      <c r="AY462" s="280"/>
      <c r="AZ462" s="268"/>
      <c r="BA462" s="268"/>
      <c r="BB462" s="13"/>
      <c r="BC462" s="36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</row>
    <row r="463" spans="1:73">
      <c r="A463" s="13"/>
      <c r="B463" s="13"/>
      <c r="C463" s="13"/>
      <c r="D463" s="13"/>
      <c r="E463" s="13"/>
      <c r="F463" s="13"/>
      <c r="G463" s="36"/>
      <c r="H463" s="36"/>
      <c r="I463" s="36"/>
      <c r="J463" s="36"/>
      <c r="K463" s="36"/>
      <c r="L463" s="36"/>
      <c r="M463" s="36"/>
      <c r="N463" s="13"/>
      <c r="O463" s="202"/>
      <c r="P463" s="36"/>
      <c r="Q463" s="52"/>
      <c r="R463" s="52"/>
      <c r="S463" s="52"/>
      <c r="U463" s="202"/>
      <c r="V463" s="202"/>
      <c r="W463" s="202"/>
      <c r="X463" s="202"/>
      <c r="Y463" s="13"/>
      <c r="Z463" s="36"/>
      <c r="AA463" s="13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289"/>
      <c r="AO463" s="289"/>
      <c r="AP463" s="289"/>
      <c r="AQ463" s="36"/>
      <c r="AR463" s="283"/>
      <c r="AS463" s="13"/>
      <c r="AT463" s="13"/>
      <c r="AU463" s="32"/>
      <c r="AV463" s="277"/>
      <c r="AW463" s="277"/>
      <c r="AX463" s="277"/>
      <c r="AY463" s="280"/>
      <c r="AZ463" s="268"/>
      <c r="BA463" s="268"/>
      <c r="BB463" s="13"/>
      <c r="BC463" s="36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</row>
    <row r="464" spans="1:73">
      <c r="A464" s="13"/>
      <c r="B464" s="13"/>
      <c r="C464" s="13"/>
      <c r="D464" s="13"/>
      <c r="E464" s="13"/>
      <c r="F464" s="13"/>
      <c r="G464" s="36"/>
      <c r="H464" s="36"/>
      <c r="I464" s="36"/>
      <c r="J464" s="36"/>
      <c r="K464" s="36"/>
      <c r="L464" s="36"/>
      <c r="M464" s="36"/>
      <c r="N464" s="13"/>
      <c r="O464" s="202"/>
      <c r="P464" s="36"/>
      <c r="Q464" s="52"/>
      <c r="R464" s="52"/>
      <c r="S464" s="52"/>
      <c r="U464" s="202"/>
      <c r="V464" s="202"/>
      <c r="W464" s="202"/>
      <c r="X464" s="202"/>
      <c r="Y464" s="13"/>
      <c r="Z464" s="36"/>
      <c r="AA464" s="13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289"/>
      <c r="AO464" s="289"/>
      <c r="AP464" s="289"/>
      <c r="AQ464" s="36"/>
      <c r="AR464" s="283"/>
      <c r="AS464" s="13"/>
      <c r="AT464" s="13"/>
      <c r="AU464" s="32"/>
      <c r="AV464" s="277"/>
      <c r="AW464" s="277"/>
      <c r="AX464" s="277"/>
      <c r="AY464" s="280"/>
      <c r="AZ464" s="268"/>
      <c r="BA464" s="268"/>
      <c r="BB464" s="13"/>
      <c r="BC464" s="36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</row>
    <row r="465" spans="1:73">
      <c r="A465" s="13"/>
      <c r="B465" s="13"/>
      <c r="C465" s="13"/>
      <c r="D465" s="13"/>
      <c r="E465" s="13"/>
      <c r="F465" s="13"/>
      <c r="G465" s="36"/>
      <c r="H465" s="36"/>
      <c r="I465" s="36"/>
      <c r="J465" s="36"/>
      <c r="K465" s="36"/>
      <c r="L465" s="36"/>
      <c r="M465" s="36"/>
      <c r="N465" s="13"/>
      <c r="O465" s="202"/>
      <c r="P465" s="36"/>
      <c r="Q465" s="52"/>
      <c r="R465" s="52"/>
      <c r="S465" s="52"/>
      <c r="U465" s="202"/>
      <c r="V465" s="202"/>
      <c r="W465" s="202"/>
      <c r="X465" s="202"/>
      <c r="Y465" s="13"/>
      <c r="Z465" s="36"/>
      <c r="AA465" s="13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289"/>
      <c r="AO465" s="289"/>
      <c r="AP465" s="289"/>
      <c r="AQ465" s="36"/>
      <c r="AR465" s="283"/>
      <c r="AS465" s="13"/>
      <c r="AT465" s="13"/>
      <c r="AU465" s="32"/>
      <c r="AV465" s="277"/>
      <c r="AW465" s="277"/>
      <c r="AX465" s="277"/>
      <c r="AY465" s="280"/>
      <c r="AZ465" s="268"/>
      <c r="BA465" s="268"/>
      <c r="BB465" s="13"/>
      <c r="BC465" s="36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</row>
    <row r="466" spans="1:73">
      <c r="A466" s="13"/>
      <c r="B466" s="13"/>
      <c r="C466" s="13"/>
      <c r="D466" s="13"/>
      <c r="E466" s="13"/>
      <c r="F466" s="13"/>
      <c r="G466" s="36"/>
      <c r="H466" s="36"/>
      <c r="I466" s="36"/>
      <c r="J466" s="36"/>
      <c r="K466" s="36"/>
      <c r="L466" s="36"/>
      <c r="M466" s="36"/>
      <c r="N466" s="13"/>
      <c r="O466" s="202"/>
      <c r="P466" s="36"/>
      <c r="Q466" s="52"/>
      <c r="R466" s="52"/>
      <c r="S466" s="52"/>
      <c r="U466" s="202"/>
      <c r="V466" s="202"/>
      <c r="W466" s="202"/>
      <c r="X466" s="202"/>
      <c r="Y466" s="13"/>
      <c r="Z466" s="36"/>
      <c r="AA466" s="13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289"/>
      <c r="AO466" s="289"/>
      <c r="AP466" s="289"/>
      <c r="AQ466" s="36"/>
      <c r="AR466" s="283"/>
      <c r="AS466" s="13"/>
      <c r="AT466" s="13"/>
      <c r="AU466" s="32"/>
      <c r="AV466" s="277"/>
      <c r="AW466" s="277"/>
      <c r="AX466" s="277"/>
      <c r="AY466" s="280"/>
      <c r="AZ466" s="268"/>
      <c r="BA466" s="268"/>
      <c r="BB466" s="13"/>
      <c r="BC466" s="36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</row>
    <row r="467" spans="1:73">
      <c r="A467" s="13"/>
      <c r="B467" s="13"/>
      <c r="C467" s="13"/>
      <c r="D467" s="13"/>
      <c r="E467" s="13"/>
      <c r="F467" s="13"/>
      <c r="G467" s="36"/>
      <c r="H467" s="36"/>
      <c r="I467" s="36"/>
      <c r="J467" s="36"/>
      <c r="K467" s="36"/>
      <c r="L467" s="36"/>
      <c r="M467" s="36"/>
      <c r="N467" s="13"/>
      <c r="O467" s="202"/>
      <c r="P467" s="36"/>
      <c r="Q467" s="52"/>
      <c r="R467" s="52"/>
      <c r="S467" s="52"/>
      <c r="U467" s="202"/>
      <c r="V467" s="202"/>
      <c r="W467" s="202"/>
      <c r="X467" s="202"/>
      <c r="Y467" s="13"/>
      <c r="Z467" s="36"/>
      <c r="AA467" s="13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289"/>
      <c r="AO467" s="289"/>
      <c r="AP467" s="289"/>
      <c r="AQ467" s="36"/>
      <c r="AR467" s="283"/>
      <c r="AS467" s="13"/>
      <c r="AT467" s="13"/>
      <c r="AU467" s="32"/>
      <c r="AV467" s="277"/>
      <c r="AW467" s="277"/>
      <c r="AX467" s="277"/>
      <c r="AY467" s="280"/>
      <c r="AZ467" s="268"/>
      <c r="BA467" s="268"/>
      <c r="BB467" s="13"/>
      <c r="BC467" s="36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</row>
    <row r="468" spans="1:73">
      <c r="A468" s="13"/>
      <c r="B468" s="13"/>
      <c r="C468" s="13"/>
      <c r="D468" s="13"/>
      <c r="E468" s="13"/>
      <c r="F468" s="13"/>
      <c r="G468" s="36"/>
      <c r="H468" s="36"/>
      <c r="I468" s="36"/>
      <c r="J468" s="36"/>
      <c r="K468" s="36"/>
      <c r="L468" s="36"/>
      <c r="M468" s="36"/>
      <c r="N468" s="13"/>
      <c r="O468" s="202"/>
      <c r="P468" s="36"/>
      <c r="Q468" s="52"/>
      <c r="R468" s="52"/>
      <c r="S468" s="52"/>
      <c r="U468" s="202"/>
      <c r="V468" s="202"/>
      <c r="W468" s="202"/>
      <c r="X468" s="202"/>
      <c r="Y468" s="13"/>
      <c r="Z468" s="36"/>
      <c r="AA468" s="13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289"/>
      <c r="AO468" s="289"/>
      <c r="AP468" s="289"/>
      <c r="AQ468" s="36"/>
      <c r="AR468" s="283"/>
      <c r="AS468" s="13"/>
      <c r="AT468" s="13"/>
      <c r="AU468" s="32"/>
      <c r="AV468" s="277"/>
      <c r="AW468" s="277"/>
      <c r="AX468" s="277"/>
      <c r="AY468" s="280"/>
      <c r="AZ468" s="268"/>
      <c r="BA468" s="268"/>
      <c r="BB468" s="13"/>
      <c r="BC468" s="36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</row>
    <row r="469" spans="1:73">
      <c r="A469" s="13"/>
      <c r="B469" s="13"/>
      <c r="C469" s="13"/>
      <c r="D469" s="13"/>
      <c r="E469" s="13"/>
      <c r="F469" s="13"/>
      <c r="G469" s="36"/>
      <c r="H469" s="36"/>
      <c r="I469" s="36"/>
      <c r="J469" s="36"/>
      <c r="K469" s="36"/>
      <c r="L469" s="36"/>
      <c r="M469" s="36"/>
      <c r="N469" s="13"/>
      <c r="O469" s="202"/>
      <c r="P469" s="36"/>
      <c r="Q469" s="52"/>
      <c r="R469" s="52"/>
      <c r="S469" s="52"/>
      <c r="U469" s="202"/>
      <c r="V469" s="202"/>
      <c r="W469" s="202"/>
      <c r="X469" s="202"/>
      <c r="Y469" s="13"/>
      <c r="Z469" s="36"/>
      <c r="AA469" s="13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289"/>
      <c r="AO469" s="289"/>
      <c r="AP469" s="289"/>
      <c r="AQ469" s="36"/>
      <c r="AR469" s="283"/>
      <c r="AS469" s="13"/>
      <c r="AT469" s="13"/>
      <c r="AU469" s="32"/>
      <c r="AV469" s="277"/>
      <c r="AW469" s="277"/>
      <c r="AX469" s="277"/>
      <c r="AY469" s="280"/>
      <c r="AZ469" s="268"/>
      <c r="BA469" s="268"/>
      <c r="BB469" s="13"/>
      <c r="BC469" s="36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</row>
    <row r="470" spans="1:73">
      <c r="A470" s="13"/>
      <c r="B470" s="13"/>
      <c r="C470" s="13"/>
      <c r="D470" s="13"/>
      <c r="E470" s="13"/>
      <c r="F470" s="13"/>
      <c r="G470" s="36"/>
      <c r="H470" s="36"/>
      <c r="I470" s="36"/>
      <c r="J470" s="36"/>
      <c r="K470" s="36"/>
      <c r="L470" s="36"/>
      <c r="M470" s="36"/>
      <c r="N470" s="13"/>
      <c r="O470" s="202"/>
      <c r="P470" s="36"/>
      <c r="Q470" s="52"/>
      <c r="R470" s="52"/>
      <c r="S470" s="52"/>
      <c r="U470" s="202"/>
      <c r="V470" s="202"/>
      <c r="W470" s="202"/>
      <c r="X470" s="202"/>
      <c r="Y470" s="13"/>
      <c r="Z470" s="36"/>
      <c r="AA470" s="13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289"/>
      <c r="AO470" s="289"/>
      <c r="AP470" s="289"/>
      <c r="AQ470" s="36"/>
      <c r="AR470" s="283"/>
      <c r="AS470" s="13"/>
      <c r="AT470" s="13"/>
      <c r="AU470" s="32"/>
      <c r="AV470" s="277"/>
      <c r="AW470" s="277"/>
      <c r="AX470" s="277"/>
      <c r="AY470" s="280"/>
      <c r="AZ470" s="268"/>
      <c r="BA470" s="268"/>
      <c r="BB470" s="13"/>
      <c r="BC470" s="36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</row>
    <row r="471" spans="1:73">
      <c r="A471" s="13"/>
      <c r="B471" s="13"/>
      <c r="C471" s="13"/>
      <c r="D471" s="13"/>
      <c r="E471" s="13"/>
      <c r="F471" s="13"/>
      <c r="G471" s="36"/>
      <c r="H471" s="36"/>
      <c r="I471" s="36"/>
      <c r="J471" s="36"/>
      <c r="K471" s="36"/>
      <c r="L471" s="36"/>
      <c r="M471" s="36"/>
      <c r="N471" s="13"/>
      <c r="O471" s="202"/>
      <c r="P471" s="36"/>
      <c r="Q471" s="52"/>
      <c r="R471" s="52"/>
      <c r="S471" s="52"/>
      <c r="U471" s="202"/>
      <c r="V471" s="202"/>
      <c r="W471" s="202"/>
      <c r="X471" s="202"/>
      <c r="Y471" s="13"/>
      <c r="Z471" s="36"/>
      <c r="AA471" s="13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289"/>
      <c r="AO471" s="289"/>
      <c r="AP471" s="289"/>
      <c r="AQ471" s="36"/>
      <c r="AR471" s="283"/>
      <c r="AS471" s="13"/>
      <c r="AT471" s="13"/>
      <c r="AU471" s="32"/>
      <c r="AV471" s="277"/>
      <c r="AW471" s="277"/>
      <c r="AX471" s="277"/>
      <c r="AY471" s="280"/>
      <c r="AZ471" s="268"/>
      <c r="BA471" s="268"/>
      <c r="BB471" s="13"/>
      <c r="BC471" s="36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</row>
    <row r="472" spans="1:73">
      <c r="A472" s="13"/>
      <c r="B472" s="13"/>
      <c r="C472" s="13"/>
      <c r="D472" s="13"/>
      <c r="E472" s="13"/>
      <c r="F472" s="13"/>
      <c r="G472" s="36"/>
      <c r="H472" s="36"/>
      <c r="I472" s="36"/>
      <c r="J472" s="36"/>
      <c r="K472" s="36"/>
      <c r="L472" s="36"/>
      <c r="M472" s="36"/>
      <c r="N472" s="13"/>
      <c r="O472" s="202"/>
      <c r="P472" s="36"/>
      <c r="Q472" s="52"/>
      <c r="R472" s="52"/>
      <c r="S472" s="52"/>
      <c r="U472" s="202"/>
      <c r="V472" s="202"/>
      <c r="W472" s="202"/>
      <c r="X472" s="202"/>
      <c r="Y472" s="13"/>
      <c r="Z472" s="36"/>
      <c r="AA472" s="13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289"/>
      <c r="AO472" s="289"/>
      <c r="AP472" s="289"/>
      <c r="AQ472" s="36"/>
      <c r="AR472" s="283"/>
      <c r="AS472" s="13"/>
      <c r="AT472" s="13"/>
      <c r="AU472" s="32"/>
      <c r="AV472" s="277"/>
      <c r="AW472" s="277"/>
      <c r="AX472" s="277"/>
      <c r="AY472" s="280"/>
      <c r="AZ472" s="268"/>
      <c r="BA472" s="268"/>
      <c r="BB472" s="13"/>
      <c r="BC472" s="36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</row>
    <row r="473" spans="1:73">
      <c r="A473" s="13"/>
      <c r="B473" s="13"/>
      <c r="C473" s="13"/>
      <c r="D473" s="13"/>
      <c r="E473" s="13"/>
      <c r="F473" s="13"/>
      <c r="G473" s="36"/>
      <c r="H473" s="36"/>
      <c r="I473" s="36"/>
      <c r="J473" s="36"/>
      <c r="K473" s="36"/>
      <c r="L473" s="36"/>
      <c r="M473" s="36"/>
      <c r="N473" s="13"/>
      <c r="O473" s="202"/>
      <c r="P473" s="36"/>
      <c r="Q473" s="52"/>
      <c r="R473" s="52"/>
      <c r="S473" s="52"/>
      <c r="U473" s="202"/>
      <c r="V473" s="202"/>
      <c r="W473" s="202"/>
      <c r="X473" s="202"/>
      <c r="Y473" s="13"/>
      <c r="Z473" s="36"/>
      <c r="AA473" s="13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289"/>
      <c r="AO473" s="289"/>
      <c r="AP473" s="289"/>
      <c r="AQ473" s="36"/>
      <c r="AR473" s="283"/>
      <c r="AS473" s="13"/>
      <c r="AT473" s="13"/>
      <c r="AU473" s="32"/>
      <c r="AV473" s="277"/>
      <c r="AW473" s="277"/>
      <c r="AX473" s="277"/>
      <c r="AY473" s="280"/>
      <c r="AZ473" s="268"/>
      <c r="BA473" s="268"/>
      <c r="BB473" s="13"/>
      <c r="BC473" s="36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</row>
    <row r="474" spans="1:73">
      <c r="A474" s="13"/>
      <c r="B474" s="13"/>
      <c r="C474" s="13"/>
      <c r="D474" s="13"/>
      <c r="E474" s="13"/>
      <c r="F474" s="13"/>
      <c r="G474" s="36"/>
      <c r="H474" s="36"/>
      <c r="I474" s="36"/>
      <c r="J474" s="36"/>
      <c r="K474" s="36"/>
      <c r="L474" s="36"/>
      <c r="M474" s="36"/>
      <c r="N474" s="13"/>
      <c r="O474" s="202"/>
      <c r="P474" s="36"/>
      <c r="Q474" s="52"/>
      <c r="R474" s="52"/>
      <c r="S474" s="52"/>
      <c r="U474" s="202"/>
      <c r="V474" s="202"/>
      <c r="W474" s="202"/>
      <c r="X474" s="202"/>
      <c r="Y474" s="13"/>
      <c r="Z474" s="36"/>
      <c r="AA474" s="13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289"/>
      <c r="AO474" s="289"/>
      <c r="AP474" s="289"/>
      <c r="AQ474" s="36"/>
      <c r="AR474" s="283"/>
      <c r="AS474" s="13"/>
      <c r="AT474" s="13"/>
      <c r="AU474" s="32"/>
      <c r="AV474" s="277"/>
      <c r="AW474" s="277"/>
      <c r="AX474" s="277"/>
      <c r="AY474" s="280"/>
      <c r="AZ474" s="268"/>
      <c r="BA474" s="268"/>
      <c r="BB474" s="13"/>
      <c r="BC474" s="36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</row>
    <row r="475" spans="1:73">
      <c r="A475" s="13"/>
      <c r="B475" s="13"/>
      <c r="C475" s="13"/>
      <c r="D475" s="13"/>
      <c r="E475" s="13"/>
      <c r="F475" s="13"/>
      <c r="G475" s="36"/>
      <c r="H475" s="36"/>
      <c r="I475" s="36"/>
      <c r="J475" s="36"/>
      <c r="K475" s="36"/>
      <c r="L475" s="36"/>
      <c r="M475" s="36"/>
      <c r="N475" s="13"/>
      <c r="O475" s="202"/>
      <c r="P475" s="36"/>
      <c r="Q475" s="52"/>
      <c r="R475" s="52"/>
      <c r="S475" s="52"/>
      <c r="U475" s="202"/>
      <c r="V475" s="202"/>
      <c r="W475" s="202"/>
      <c r="X475" s="202"/>
      <c r="Y475" s="13"/>
      <c r="Z475" s="36"/>
      <c r="AA475" s="13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289"/>
      <c r="AO475" s="289"/>
      <c r="AP475" s="289"/>
      <c r="AQ475" s="36"/>
      <c r="AR475" s="283"/>
      <c r="AS475" s="13"/>
      <c r="AT475" s="13"/>
      <c r="AU475" s="32"/>
      <c r="AV475" s="277"/>
      <c r="AW475" s="277"/>
      <c r="AX475" s="277"/>
      <c r="AY475" s="280"/>
      <c r="AZ475" s="268"/>
      <c r="BA475" s="268"/>
      <c r="BB475" s="13"/>
      <c r="BC475" s="36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</row>
    <row r="476" spans="1:73">
      <c r="A476" s="13"/>
      <c r="B476" s="13"/>
      <c r="C476" s="13"/>
      <c r="D476" s="13"/>
      <c r="E476" s="13"/>
      <c r="F476" s="13"/>
      <c r="G476" s="36"/>
      <c r="H476" s="36"/>
      <c r="I476" s="36"/>
      <c r="J476" s="36"/>
      <c r="K476" s="36"/>
      <c r="L476" s="36"/>
      <c r="M476" s="36"/>
      <c r="N476" s="13"/>
      <c r="O476" s="202"/>
      <c r="P476" s="36"/>
      <c r="Q476" s="52"/>
      <c r="R476" s="52"/>
      <c r="S476" s="52"/>
      <c r="U476" s="202"/>
      <c r="V476" s="202"/>
      <c r="W476" s="202"/>
      <c r="X476" s="202"/>
      <c r="Y476" s="13"/>
      <c r="Z476" s="36"/>
      <c r="AA476" s="13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289"/>
      <c r="AO476" s="289"/>
      <c r="AP476" s="289"/>
      <c r="AQ476" s="36"/>
      <c r="AR476" s="283"/>
      <c r="AS476" s="13"/>
      <c r="AT476" s="13"/>
      <c r="AU476" s="32"/>
      <c r="AV476" s="277"/>
      <c r="AW476" s="277"/>
      <c r="AX476" s="277"/>
      <c r="AY476" s="280"/>
      <c r="AZ476" s="268"/>
      <c r="BA476" s="268"/>
      <c r="BB476" s="13"/>
      <c r="BC476" s="36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</row>
    <row r="477" spans="1:73">
      <c r="A477" s="13"/>
      <c r="B477" s="13"/>
      <c r="C477" s="13"/>
      <c r="D477" s="13"/>
      <c r="E477" s="13"/>
      <c r="F477" s="13"/>
      <c r="G477" s="36"/>
      <c r="H477" s="36"/>
      <c r="I477" s="36"/>
      <c r="J477" s="36"/>
      <c r="K477" s="36"/>
      <c r="L477" s="36"/>
      <c r="M477" s="36"/>
      <c r="N477" s="13"/>
      <c r="O477" s="202"/>
      <c r="P477" s="36"/>
      <c r="Q477" s="52"/>
      <c r="R477" s="52"/>
      <c r="S477" s="52"/>
      <c r="U477" s="202"/>
      <c r="V477" s="202"/>
      <c r="W477" s="202"/>
      <c r="X477" s="202"/>
      <c r="Y477" s="13"/>
      <c r="Z477" s="36"/>
      <c r="AA477" s="13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289"/>
      <c r="AO477" s="289"/>
      <c r="AP477" s="289"/>
      <c r="AQ477" s="36"/>
      <c r="AR477" s="283"/>
      <c r="AS477" s="13"/>
      <c r="AT477" s="13"/>
      <c r="AU477" s="32"/>
      <c r="AV477" s="277"/>
      <c r="AW477" s="277"/>
      <c r="AX477" s="277"/>
      <c r="AY477" s="280"/>
      <c r="AZ477" s="268"/>
      <c r="BA477" s="268"/>
      <c r="BB477" s="13"/>
      <c r="BC477" s="36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</row>
    <row r="478" spans="1:73">
      <c r="A478" s="13"/>
      <c r="B478" s="13"/>
      <c r="C478" s="13"/>
      <c r="D478" s="13"/>
      <c r="E478" s="13"/>
      <c r="F478" s="13"/>
      <c r="G478" s="36"/>
      <c r="H478" s="36"/>
      <c r="I478" s="36"/>
      <c r="J478" s="36"/>
      <c r="K478" s="36"/>
      <c r="L478" s="36"/>
      <c r="M478" s="36"/>
      <c r="N478" s="13"/>
      <c r="O478" s="202"/>
      <c r="P478" s="36"/>
      <c r="Q478" s="52"/>
      <c r="R478" s="52"/>
      <c r="S478" s="52"/>
      <c r="U478" s="202"/>
      <c r="V478" s="202"/>
      <c r="W478" s="202"/>
      <c r="X478" s="202"/>
      <c r="Y478" s="13"/>
      <c r="Z478" s="36"/>
      <c r="AA478" s="13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289"/>
      <c r="AO478" s="289"/>
      <c r="AP478" s="289"/>
      <c r="AQ478" s="36"/>
      <c r="AR478" s="283"/>
      <c r="AS478" s="13"/>
      <c r="AT478" s="13"/>
      <c r="AU478" s="32"/>
      <c r="AV478" s="277"/>
      <c r="AW478" s="277"/>
      <c r="AX478" s="277"/>
      <c r="AY478" s="280"/>
      <c r="AZ478" s="268"/>
      <c r="BA478" s="268"/>
      <c r="BB478" s="13"/>
      <c r="BC478" s="36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</row>
    <row r="479" spans="1:73">
      <c r="A479" s="13"/>
      <c r="B479" s="13"/>
      <c r="C479" s="13"/>
      <c r="D479" s="13"/>
      <c r="E479" s="13"/>
      <c r="F479" s="13"/>
      <c r="G479" s="36"/>
      <c r="H479" s="36"/>
      <c r="I479" s="36"/>
      <c r="J479" s="36"/>
      <c r="K479" s="36"/>
      <c r="L479" s="36"/>
      <c r="M479" s="36"/>
      <c r="N479" s="13"/>
      <c r="O479" s="202"/>
      <c r="P479" s="36"/>
      <c r="Q479" s="52"/>
      <c r="R479" s="52"/>
      <c r="S479" s="52"/>
      <c r="U479" s="202"/>
      <c r="V479" s="202"/>
      <c r="W479" s="202"/>
      <c r="X479" s="202"/>
      <c r="Y479" s="13"/>
      <c r="Z479" s="36"/>
      <c r="AA479" s="13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289"/>
      <c r="AO479" s="289"/>
      <c r="AP479" s="289"/>
      <c r="AQ479" s="36"/>
      <c r="AR479" s="283"/>
      <c r="AS479" s="13"/>
      <c r="AT479" s="13"/>
      <c r="AU479" s="32"/>
      <c r="AV479" s="277"/>
      <c r="AW479" s="277"/>
      <c r="AX479" s="277"/>
      <c r="AY479" s="280"/>
      <c r="AZ479" s="268"/>
      <c r="BA479" s="268"/>
      <c r="BB479" s="13"/>
      <c r="BC479" s="36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</row>
    <row r="480" spans="1:73">
      <c r="A480" s="13"/>
      <c r="B480" s="13"/>
      <c r="C480" s="13"/>
      <c r="D480" s="13"/>
      <c r="E480" s="13"/>
      <c r="F480" s="13"/>
      <c r="G480" s="36"/>
      <c r="H480" s="36"/>
      <c r="I480" s="36"/>
      <c r="J480" s="36"/>
      <c r="K480" s="36"/>
      <c r="L480" s="36"/>
      <c r="M480" s="36"/>
      <c r="N480" s="13"/>
      <c r="O480" s="202"/>
      <c r="P480" s="36"/>
      <c r="Q480" s="52"/>
      <c r="R480" s="52"/>
      <c r="S480" s="52"/>
      <c r="U480" s="202"/>
      <c r="V480" s="202"/>
      <c r="W480" s="202"/>
      <c r="X480" s="202"/>
      <c r="Y480" s="13"/>
      <c r="Z480" s="36"/>
      <c r="AA480" s="13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289"/>
      <c r="AO480" s="289"/>
      <c r="AP480" s="289"/>
      <c r="AQ480" s="36"/>
      <c r="AR480" s="283"/>
      <c r="AS480" s="13"/>
      <c r="AT480" s="13"/>
      <c r="AU480" s="32"/>
      <c r="AV480" s="277"/>
      <c r="AW480" s="277"/>
      <c r="AX480" s="277"/>
      <c r="AY480" s="280"/>
      <c r="AZ480" s="268"/>
      <c r="BA480" s="268"/>
      <c r="BB480" s="13"/>
      <c r="BC480" s="36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</row>
    <row r="481" spans="1:73">
      <c r="A481" s="13"/>
      <c r="B481" s="13"/>
      <c r="C481" s="13"/>
      <c r="D481" s="13"/>
      <c r="E481" s="13"/>
      <c r="F481" s="13"/>
      <c r="G481" s="36"/>
      <c r="H481" s="36"/>
      <c r="I481" s="36"/>
      <c r="J481" s="36"/>
      <c r="K481" s="36"/>
      <c r="L481" s="36"/>
      <c r="M481" s="36"/>
      <c r="N481" s="13"/>
      <c r="O481" s="202"/>
      <c r="P481" s="36"/>
      <c r="Q481" s="52"/>
      <c r="R481" s="52"/>
      <c r="S481" s="52"/>
      <c r="U481" s="202"/>
      <c r="V481" s="202"/>
      <c r="W481" s="202"/>
      <c r="X481" s="202"/>
      <c r="Y481" s="13"/>
      <c r="Z481" s="36"/>
      <c r="AA481" s="13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289"/>
      <c r="AO481" s="289"/>
      <c r="AP481" s="289"/>
      <c r="AQ481" s="36"/>
      <c r="AR481" s="283"/>
      <c r="AS481" s="13"/>
      <c r="AT481" s="13"/>
      <c r="AU481" s="32"/>
      <c r="AV481" s="277"/>
      <c r="AW481" s="277"/>
      <c r="AX481" s="277"/>
      <c r="AY481" s="280"/>
      <c r="AZ481" s="268"/>
      <c r="BA481" s="268"/>
      <c r="BB481" s="13"/>
      <c r="BC481" s="36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</row>
    <row r="482" spans="1:73">
      <c r="A482" s="13"/>
      <c r="B482" s="13"/>
      <c r="C482" s="13"/>
      <c r="D482" s="13"/>
      <c r="E482" s="13"/>
      <c r="F482" s="13"/>
      <c r="G482" s="36"/>
      <c r="H482" s="36"/>
      <c r="I482" s="36"/>
      <c r="J482" s="36"/>
      <c r="K482" s="36"/>
      <c r="L482" s="36"/>
      <c r="M482" s="36"/>
      <c r="N482" s="13"/>
      <c r="O482" s="202"/>
      <c r="P482" s="36"/>
      <c r="Q482" s="52"/>
      <c r="R482" s="52"/>
      <c r="S482" s="52"/>
      <c r="U482" s="202"/>
      <c r="V482" s="202"/>
      <c r="W482" s="202"/>
      <c r="X482" s="202"/>
      <c r="Y482" s="13"/>
      <c r="Z482" s="36"/>
      <c r="AA482" s="13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289"/>
      <c r="AO482" s="289"/>
      <c r="AP482" s="289"/>
      <c r="AQ482" s="36"/>
      <c r="AR482" s="283"/>
      <c r="AS482" s="13"/>
      <c r="AT482" s="13"/>
      <c r="AU482" s="32"/>
      <c r="AV482" s="277"/>
      <c r="AW482" s="277"/>
      <c r="AX482" s="277"/>
      <c r="AY482" s="280"/>
      <c r="AZ482" s="268"/>
      <c r="BA482" s="268"/>
      <c r="BB482" s="13"/>
      <c r="BC482" s="36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</row>
    <row r="483" spans="1:73">
      <c r="A483" s="13"/>
      <c r="B483" s="13"/>
      <c r="C483" s="13"/>
      <c r="D483" s="13"/>
      <c r="E483" s="13"/>
      <c r="F483" s="13"/>
      <c r="G483" s="36"/>
      <c r="H483" s="36"/>
      <c r="I483" s="36"/>
      <c r="J483" s="36"/>
      <c r="K483" s="36"/>
      <c r="L483" s="36"/>
      <c r="M483" s="36"/>
      <c r="N483" s="13"/>
      <c r="O483" s="202"/>
      <c r="P483" s="36"/>
      <c r="Q483" s="52"/>
      <c r="R483" s="52"/>
      <c r="S483" s="52"/>
      <c r="U483" s="202"/>
      <c r="V483" s="202"/>
      <c r="W483" s="202"/>
      <c r="X483" s="202"/>
      <c r="Y483" s="13"/>
      <c r="Z483" s="36"/>
      <c r="AA483" s="13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289"/>
      <c r="AO483" s="289"/>
      <c r="AP483" s="289"/>
      <c r="AQ483" s="36"/>
      <c r="AR483" s="283"/>
      <c r="AS483" s="13"/>
      <c r="AT483" s="13"/>
      <c r="AU483" s="32"/>
      <c r="AV483" s="277"/>
      <c r="AW483" s="277"/>
      <c r="AX483" s="277"/>
      <c r="AY483" s="280"/>
      <c r="AZ483" s="268"/>
      <c r="BA483" s="268"/>
      <c r="BB483" s="13"/>
      <c r="BC483" s="36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</row>
    <row r="484" spans="1:73">
      <c r="A484" s="13"/>
      <c r="B484" s="13"/>
      <c r="C484" s="13"/>
      <c r="D484" s="13"/>
      <c r="E484" s="13"/>
      <c r="F484" s="13"/>
      <c r="G484" s="36"/>
      <c r="H484" s="36"/>
      <c r="I484" s="36"/>
      <c r="J484" s="36"/>
      <c r="K484" s="36"/>
      <c r="L484" s="36"/>
      <c r="M484" s="36"/>
      <c r="N484" s="13"/>
      <c r="O484" s="202"/>
      <c r="P484" s="36"/>
      <c r="Q484" s="52"/>
      <c r="R484" s="52"/>
      <c r="S484" s="52"/>
      <c r="U484" s="202"/>
      <c r="V484" s="202"/>
      <c r="W484" s="202"/>
      <c r="X484" s="202"/>
      <c r="Y484" s="13"/>
      <c r="Z484" s="36"/>
      <c r="AA484" s="13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289"/>
      <c r="AO484" s="289"/>
      <c r="AP484" s="289"/>
      <c r="AQ484" s="36"/>
      <c r="AR484" s="283"/>
      <c r="AS484" s="13"/>
      <c r="AT484" s="13"/>
      <c r="AU484" s="32"/>
      <c r="AV484" s="277"/>
      <c r="AW484" s="277"/>
      <c r="AX484" s="277"/>
      <c r="AY484" s="280"/>
      <c r="AZ484" s="268"/>
      <c r="BA484" s="268"/>
      <c r="BB484" s="13"/>
      <c r="BC484" s="36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</row>
    <row r="485" spans="1:73">
      <c r="A485" s="13"/>
      <c r="B485" s="13"/>
      <c r="C485" s="13"/>
      <c r="D485" s="13"/>
      <c r="E485" s="13"/>
      <c r="F485" s="13"/>
      <c r="G485" s="36"/>
      <c r="H485" s="36"/>
      <c r="I485" s="36"/>
      <c r="J485" s="36"/>
      <c r="K485" s="36"/>
      <c r="L485" s="36"/>
      <c r="M485" s="36"/>
      <c r="N485" s="13"/>
      <c r="O485" s="202"/>
      <c r="P485" s="36"/>
      <c r="Q485" s="52"/>
      <c r="R485" s="52"/>
      <c r="S485" s="52"/>
      <c r="U485" s="202"/>
      <c r="V485" s="202"/>
      <c r="W485" s="202"/>
      <c r="X485" s="202"/>
      <c r="Y485" s="13"/>
      <c r="Z485" s="36"/>
      <c r="AA485" s="13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289"/>
      <c r="AO485" s="289"/>
      <c r="AP485" s="289"/>
      <c r="AQ485" s="36"/>
      <c r="AR485" s="283"/>
      <c r="AS485" s="13"/>
      <c r="AT485" s="13"/>
      <c r="AU485" s="32"/>
      <c r="AV485" s="277"/>
      <c r="AW485" s="277"/>
      <c r="AX485" s="277"/>
      <c r="AY485" s="280"/>
      <c r="AZ485" s="268"/>
      <c r="BA485" s="268"/>
      <c r="BB485" s="13"/>
      <c r="BC485" s="36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</row>
    <row r="486" spans="1:73">
      <c r="A486" s="13"/>
      <c r="B486" s="13"/>
      <c r="C486" s="13"/>
      <c r="D486" s="13"/>
      <c r="E486" s="13"/>
      <c r="F486" s="13"/>
      <c r="G486" s="36"/>
      <c r="H486" s="36"/>
      <c r="I486" s="36"/>
      <c r="J486" s="36"/>
      <c r="K486" s="36"/>
      <c r="L486" s="36"/>
      <c r="M486" s="36"/>
      <c r="N486" s="13"/>
      <c r="O486" s="202"/>
      <c r="P486" s="36"/>
      <c r="Q486" s="52"/>
      <c r="R486" s="52"/>
      <c r="S486" s="52"/>
      <c r="U486" s="202"/>
      <c r="V486" s="202"/>
      <c r="W486" s="202"/>
      <c r="X486" s="202"/>
      <c r="Y486" s="13"/>
      <c r="Z486" s="36"/>
      <c r="AA486" s="13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289"/>
      <c r="AO486" s="289"/>
      <c r="AP486" s="289"/>
      <c r="AQ486" s="36"/>
      <c r="AR486" s="283"/>
      <c r="AS486" s="13"/>
      <c r="AT486" s="13"/>
      <c r="AU486" s="32"/>
      <c r="AV486" s="277"/>
      <c r="AW486" s="277"/>
      <c r="AX486" s="277"/>
      <c r="AY486" s="280"/>
      <c r="AZ486" s="268"/>
      <c r="BA486" s="268"/>
      <c r="BB486" s="13"/>
      <c r="BC486" s="36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</row>
    <row r="487" spans="1:73">
      <c r="A487" s="13"/>
      <c r="B487" s="13"/>
      <c r="C487" s="13"/>
      <c r="D487" s="13"/>
      <c r="E487" s="13"/>
      <c r="F487" s="13"/>
      <c r="G487" s="36"/>
      <c r="H487" s="36"/>
      <c r="I487" s="36"/>
      <c r="J487" s="36"/>
      <c r="K487" s="36"/>
      <c r="L487" s="36"/>
      <c r="M487" s="36"/>
      <c r="N487" s="13"/>
      <c r="O487" s="202"/>
      <c r="P487" s="36"/>
      <c r="Q487" s="52"/>
      <c r="R487" s="52"/>
      <c r="S487" s="52"/>
      <c r="U487" s="202"/>
      <c r="V487" s="202"/>
      <c r="W487" s="202"/>
      <c r="X487" s="202"/>
      <c r="Y487" s="13"/>
      <c r="Z487" s="36"/>
      <c r="AA487" s="13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289"/>
      <c r="AO487" s="289"/>
      <c r="AP487" s="289"/>
      <c r="AQ487" s="36"/>
      <c r="AR487" s="283"/>
      <c r="AS487" s="13"/>
      <c r="AT487" s="13"/>
      <c r="AU487" s="32"/>
      <c r="AV487" s="277"/>
      <c r="AW487" s="277"/>
      <c r="AX487" s="277"/>
      <c r="AY487" s="280"/>
      <c r="AZ487" s="268"/>
      <c r="BA487" s="268"/>
      <c r="BB487" s="13"/>
      <c r="BC487" s="36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</row>
    <row r="488" spans="1:73">
      <c r="A488" s="13"/>
      <c r="B488" s="13"/>
      <c r="C488" s="13"/>
      <c r="D488" s="13"/>
      <c r="E488" s="13"/>
      <c r="F488" s="13"/>
      <c r="G488" s="36"/>
      <c r="H488" s="36"/>
      <c r="I488" s="36"/>
      <c r="J488" s="36"/>
      <c r="K488" s="36"/>
      <c r="L488" s="36"/>
      <c r="M488" s="36"/>
      <c r="N488" s="13"/>
      <c r="O488" s="202"/>
      <c r="P488" s="36"/>
      <c r="Q488" s="52"/>
      <c r="R488" s="52"/>
      <c r="S488" s="52"/>
      <c r="U488" s="202"/>
      <c r="V488" s="202"/>
      <c r="W488" s="202"/>
      <c r="X488" s="202"/>
      <c r="Y488" s="13"/>
      <c r="Z488" s="36"/>
      <c r="AA488" s="13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289"/>
      <c r="AO488" s="289"/>
      <c r="AP488" s="289"/>
      <c r="AQ488" s="36"/>
      <c r="AR488" s="283"/>
      <c r="AS488" s="13"/>
      <c r="AT488" s="13"/>
      <c r="AU488" s="32"/>
      <c r="AV488" s="277"/>
      <c r="AW488" s="277"/>
      <c r="AX488" s="277"/>
      <c r="AY488" s="280"/>
      <c r="AZ488" s="268"/>
      <c r="BA488" s="268"/>
      <c r="BB488" s="13"/>
      <c r="BC488" s="36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</row>
    <row r="489" spans="1:73">
      <c r="A489" s="13"/>
      <c r="B489" s="13"/>
      <c r="C489" s="13"/>
      <c r="D489" s="13"/>
      <c r="E489" s="13"/>
      <c r="F489" s="13"/>
      <c r="G489" s="36"/>
      <c r="H489" s="36"/>
      <c r="I489" s="36"/>
      <c r="J489" s="36"/>
      <c r="K489" s="36"/>
      <c r="L489" s="36"/>
      <c r="M489" s="36"/>
      <c r="N489" s="13"/>
      <c r="O489" s="202"/>
      <c r="P489" s="36"/>
      <c r="Q489" s="52"/>
      <c r="R489" s="52"/>
      <c r="S489" s="52"/>
      <c r="U489" s="202"/>
      <c r="V489" s="202"/>
      <c r="W489" s="202"/>
      <c r="X489" s="202"/>
      <c r="Y489" s="13"/>
      <c r="Z489" s="36"/>
      <c r="AA489" s="13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289"/>
      <c r="AO489" s="289"/>
      <c r="AP489" s="289"/>
      <c r="AQ489" s="36"/>
      <c r="AR489" s="283"/>
      <c r="AS489" s="13"/>
      <c r="AT489" s="13"/>
      <c r="AU489" s="32"/>
      <c r="AV489" s="277"/>
      <c r="AW489" s="277"/>
      <c r="AX489" s="277"/>
      <c r="AY489" s="280"/>
      <c r="AZ489" s="268"/>
      <c r="BA489" s="268"/>
      <c r="BB489" s="13"/>
      <c r="BC489" s="36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</row>
    <row r="490" spans="1:73">
      <c r="A490" s="13"/>
      <c r="B490" s="13"/>
      <c r="C490" s="13"/>
      <c r="D490" s="13"/>
      <c r="E490" s="13"/>
      <c r="F490" s="13"/>
      <c r="G490" s="36"/>
      <c r="H490" s="36"/>
      <c r="I490" s="36"/>
      <c r="J490" s="36"/>
      <c r="K490" s="36"/>
      <c r="L490" s="36"/>
      <c r="M490" s="36"/>
      <c r="N490" s="13"/>
      <c r="O490" s="202"/>
      <c r="P490" s="36"/>
      <c r="Q490" s="52"/>
      <c r="R490" s="52"/>
      <c r="S490" s="52"/>
      <c r="U490" s="202"/>
      <c r="V490" s="202"/>
      <c r="W490" s="202"/>
      <c r="X490" s="202"/>
      <c r="Y490" s="13"/>
      <c r="Z490" s="36"/>
      <c r="AA490" s="13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289"/>
      <c r="AO490" s="289"/>
      <c r="AP490" s="289"/>
      <c r="AQ490" s="36"/>
      <c r="AR490" s="283"/>
      <c r="AS490" s="13"/>
      <c r="AT490" s="13"/>
      <c r="AU490" s="32"/>
      <c r="AV490" s="277"/>
      <c r="AW490" s="277"/>
      <c r="AX490" s="277"/>
      <c r="AY490" s="280"/>
      <c r="AZ490" s="268"/>
      <c r="BA490" s="268"/>
      <c r="BB490" s="13"/>
      <c r="BC490" s="36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</row>
    <row r="491" spans="1:73">
      <c r="A491" s="13"/>
      <c r="B491" s="13"/>
      <c r="C491" s="13"/>
      <c r="D491" s="13"/>
      <c r="E491" s="13"/>
      <c r="F491" s="13"/>
      <c r="G491" s="36"/>
      <c r="H491" s="36"/>
      <c r="I491" s="36"/>
      <c r="J491" s="36"/>
      <c r="K491" s="36"/>
      <c r="L491" s="36"/>
      <c r="M491" s="36"/>
      <c r="N491" s="13"/>
      <c r="O491" s="202"/>
      <c r="P491" s="36"/>
      <c r="Q491" s="52"/>
      <c r="R491" s="52"/>
      <c r="S491" s="52"/>
      <c r="U491" s="202"/>
      <c r="V491" s="202"/>
      <c r="W491" s="202"/>
      <c r="X491" s="202"/>
      <c r="Y491" s="13"/>
      <c r="Z491" s="36"/>
      <c r="AA491" s="13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289"/>
      <c r="AO491" s="289"/>
      <c r="AP491" s="289"/>
      <c r="AQ491" s="36"/>
      <c r="AR491" s="283"/>
      <c r="AS491" s="13"/>
      <c r="AT491" s="13"/>
      <c r="AU491" s="32"/>
      <c r="AV491" s="277"/>
      <c r="AW491" s="277"/>
      <c r="AX491" s="277"/>
      <c r="AY491" s="280"/>
      <c r="AZ491" s="268"/>
      <c r="BA491" s="268"/>
      <c r="BB491" s="13"/>
      <c r="BC491" s="36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</row>
    <row r="492" spans="1:73">
      <c r="A492" s="13"/>
      <c r="B492" s="13"/>
      <c r="C492" s="13"/>
      <c r="D492" s="13"/>
      <c r="E492" s="13"/>
      <c r="F492" s="13"/>
      <c r="G492" s="36"/>
      <c r="H492" s="36"/>
      <c r="I492" s="36"/>
      <c r="J492" s="36"/>
      <c r="K492" s="36"/>
      <c r="L492" s="36"/>
      <c r="M492" s="36"/>
      <c r="N492" s="13"/>
      <c r="O492" s="202"/>
      <c r="P492" s="36"/>
      <c r="Q492" s="52"/>
      <c r="R492" s="52"/>
      <c r="S492" s="52"/>
      <c r="U492" s="202"/>
      <c r="V492" s="202"/>
      <c r="W492" s="202"/>
      <c r="X492" s="202"/>
      <c r="Y492" s="13"/>
      <c r="Z492" s="36"/>
      <c r="AA492" s="13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289"/>
      <c r="AO492" s="289"/>
      <c r="AP492" s="289"/>
      <c r="AQ492" s="36"/>
      <c r="AR492" s="283"/>
      <c r="AS492" s="13"/>
      <c r="AT492" s="13"/>
      <c r="AU492" s="32"/>
      <c r="AV492" s="277"/>
      <c r="AW492" s="277"/>
      <c r="AX492" s="277"/>
      <c r="AY492" s="280"/>
      <c r="AZ492" s="268"/>
      <c r="BA492" s="268"/>
      <c r="BB492" s="13"/>
      <c r="BC492" s="36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</row>
    <row r="493" spans="1:73">
      <c r="A493" s="13"/>
      <c r="B493" s="13"/>
      <c r="C493" s="13"/>
      <c r="D493" s="13"/>
      <c r="E493" s="13"/>
      <c r="F493" s="13"/>
      <c r="G493" s="36"/>
      <c r="H493" s="36"/>
      <c r="I493" s="36"/>
      <c r="J493" s="36"/>
      <c r="K493" s="36"/>
      <c r="L493" s="36"/>
      <c r="M493" s="36"/>
      <c r="N493" s="13"/>
      <c r="O493" s="202"/>
      <c r="P493" s="36"/>
      <c r="Q493" s="52"/>
      <c r="R493" s="52"/>
      <c r="S493" s="52"/>
      <c r="U493" s="202"/>
      <c r="V493" s="202"/>
      <c r="W493" s="202"/>
      <c r="X493" s="202"/>
      <c r="Y493" s="13"/>
      <c r="Z493" s="36"/>
      <c r="AA493" s="13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289"/>
      <c r="AO493" s="289"/>
      <c r="AP493" s="289"/>
      <c r="AQ493" s="36"/>
      <c r="AR493" s="283"/>
      <c r="AS493" s="13"/>
      <c r="AT493" s="13"/>
      <c r="AU493" s="32"/>
      <c r="AV493" s="277"/>
      <c r="AW493" s="277"/>
      <c r="AX493" s="277"/>
      <c r="AY493" s="280"/>
      <c r="AZ493" s="268"/>
      <c r="BA493" s="268"/>
      <c r="BB493" s="13"/>
      <c r="BC493" s="36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</row>
    <row r="494" spans="1:73">
      <c r="A494" s="13"/>
      <c r="B494" s="13"/>
      <c r="C494" s="13"/>
      <c r="D494" s="13"/>
      <c r="E494" s="13"/>
      <c r="F494" s="13"/>
      <c r="G494" s="36"/>
      <c r="H494" s="36"/>
      <c r="I494" s="36"/>
      <c r="J494" s="36"/>
      <c r="K494" s="36"/>
      <c r="L494" s="36"/>
      <c r="M494" s="36"/>
      <c r="N494" s="13"/>
      <c r="O494" s="202"/>
      <c r="P494" s="36"/>
      <c r="Q494" s="52"/>
      <c r="R494" s="52"/>
      <c r="S494" s="52"/>
      <c r="U494" s="202"/>
      <c r="V494" s="202"/>
      <c r="W494" s="202"/>
      <c r="X494" s="202"/>
      <c r="Y494" s="13"/>
      <c r="Z494" s="36"/>
      <c r="AA494" s="13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289"/>
      <c r="AO494" s="289"/>
      <c r="AP494" s="289"/>
      <c r="AQ494" s="36"/>
      <c r="AR494" s="283"/>
      <c r="AS494" s="13"/>
      <c r="AT494" s="13"/>
      <c r="AU494" s="32"/>
      <c r="AV494" s="277"/>
      <c r="AW494" s="277"/>
      <c r="AX494" s="277"/>
      <c r="AY494" s="280"/>
      <c r="AZ494" s="268"/>
      <c r="BA494" s="268"/>
      <c r="BB494" s="13"/>
      <c r="BC494" s="36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</row>
    <row r="495" spans="1:73">
      <c r="A495" s="13"/>
      <c r="B495" s="13"/>
      <c r="C495" s="13"/>
      <c r="D495" s="13"/>
      <c r="E495" s="13"/>
      <c r="F495" s="13"/>
      <c r="G495" s="36"/>
      <c r="H495" s="36"/>
      <c r="I495" s="36"/>
      <c r="J495" s="36"/>
      <c r="K495" s="36"/>
      <c r="L495" s="36"/>
      <c r="M495" s="36"/>
      <c r="N495" s="13"/>
      <c r="O495" s="202"/>
      <c r="P495" s="36"/>
      <c r="Q495" s="52"/>
      <c r="R495" s="52"/>
      <c r="S495" s="52"/>
      <c r="U495" s="202"/>
      <c r="V495" s="202"/>
      <c r="W495" s="202"/>
      <c r="X495" s="202"/>
      <c r="Y495" s="13"/>
      <c r="Z495" s="36"/>
      <c r="AA495" s="13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289"/>
      <c r="AO495" s="289"/>
      <c r="AP495" s="289"/>
      <c r="AQ495" s="36"/>
      <c r="AR495" s="283"/>
      <c r="AS495" s="13"/>
      <c r="AT495" s="13"/>
      <c r="AU495" s="32"/>
      <c r="AV495" s="277"/>
      <c r="AW495" s="277"/>
      <c r="AX495" s="277"/>
      <c r="AY495" s="280"/>
      <c r="AZ495" s="268"/>
      <c r="BA495" s="268"/>
      <c r="BB495" s="13"/>
      <c r="BC495" s="36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</row>
    <row r="496" spans="1:73">
      <c r="A496" s="13"/>
      <c r="B496" s="13"/>
      <c r="C496" s="13"/>
      <c r="D496" s="13"/>
      <c r="E496" s="13"/>
      <c r="F496" s="13"/>
      <c r="G496" s="36"/>
      <c r="H496" s="36"/>
      <c r="I496" s="36"/>
      <c r="J496" s="36"/>
      <c r="K496" s="36"/>
      <c r="L496" s="36"/>
      <c r="M496" s="36"/>
      <c r="N496" s="13"/>
      <c r="O496" s="202"/>
      <c r="P496" s="36"/>
      <c r="Q496" s="52"/>
      <c r="R496" s="52"/>
      <c r="S496" s="52"/>
      <c r="U496" s="202"/>
      <c r="V496" s="202"/>
      <c r="W496" s="202"/>
      <c r="X496" s="202"/>
      <c r="Y496" s="13"/>
      <c r="Z496" s="36"/>
      <c r="AA496" s="13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289"/>
      <c r="AO496" s="289"/>
      <c r="AP496" s="289"/>
      <c r="AQ496" s="36"/>
      <c r="AR496" s="283"/>
      <c r="AS496" s="13"/>
      <c r="AT496" s="13"/>
      <c r="AU496" s="32"/>
      <c r="AV496" s="277"/>
      <c r="AW496" s="277"/>
      <c r="AX496" s="277"/>
      <c r="AY496" s="280"/>
      <c r="AZ496" s="268"/>
      <c r="BA496" s="268"/>
      <c r="BB496" s="13"/>
      <c r="BC496" s="36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</row>
    <row r="497" spans="1:73">
      <c r="A497" s="13"/>
      <c r="B497" s="13"/>
      <c r="C497" s="13"/>
      <c r="D497" s="13"/>
      <c r="E497" s="13"/>
      <c r="F497" s="13"/>
      <c r="G497" s="36"/>
      <c r="H497" s="36"/>
      <c r="I497" s="36"/>
      <c r="J497" s="36"/>
      <c r="K497" s="36"/>
      <c r="L497" s="36"/>
      <c r="M497" s="36"/>
      <c r="N497" s="13"/>
      <c r="O497" s="202"/>
      <c r="P497" s="36"/>
      <c r="Q497" s="52"/>
      <c r="R497" s="52"/>
      <c r="S497" s="52"/>
      <c r="U497" s="202"/>
      <c r="V497" s="202"/>
      <c r="W497" s="202"/>
      <c r="X497" s="202"/>
      <c r="Y497" s="13"/>
      <c r="Z497" s="36"/>
      <c r="AA497" s="13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289"/>
      <c r="AO497" s="289"/>
      <c r="AP497" s="289"/>
      <c r="AQ497" s="36"/>
      <c r="AR497" s="283"/>
      <c r="AS497" s="13"/>
      <c r="AT497" s="13"/>
      <c r="AU497" s="32"/>
      <c r="AV497" s="277"/>
      <c r="AW497" s="277"/>
      <c r="AX497" s="277"/>
      <c r="AY497" s="280"/>
      <c r="AZ497" s="268"/>
      <c r="BA497" s="268"/>
      <c r="BB497" s="13"/>
      <c r="BC497" s="36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</row>
    <row r="498" spans="1:73">
      <c r="A498" s="13"/>
      <c r="B498" s="13"/>
      <c r="C498" s="13"/>
      <c r="D498" s="13"/>
      <c r="E498" s="13"/>
      <c r="F498" s="13"/>
      <c r="G498" s="36"/>
      <c r="H498" s="36"/>
      <c r="I498" s="36"/>
      <c r="J498" s="36"/>
      <c r="K498" s="36"/>
      <c r="L498" s="36"/>
      <c r="M498" s="36"/>
      <c r="N498" s="13"/>
      <c r="O498" s="202"/>
      <c r="P498" s="36"/>
      <c r="Q498" s="52"/>
      <c r="R498" s="52"/>
      <c r="S498" s="52"/>
      <c r="U498" s="202"/>
      <c r="V498" s="202"/>
      <c r="W498" s="202"/>
      <c r="X498" s="202"/>
      <c r="Y498" s="13"/>
      <c r="Z498" s="36"/>
      <c r="AA498" s="13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289"/>
      <c r="AO498" s="289"/>
      <c r="AP498" s="289"/>
      <c r="AQ498" s="36"/>
      <c r="AR498" s="283"/>
      <c r="AS498" s="13"/>
      <c r="AT498" s="13"/>
      <c r="AU498" s="32"/>
      <c r="AV498" s="277"/>
      <c r="AW498" s="277"/>
      <c r="AX498" s="277"/>
      <c r="AY498" s="280"/>
      <c r="AZ498" s="268"/>
      <c r="BA498" s="268"/>
      <c r="BB498" s="13"/>
      <c r="BC498" s="36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</row>
    <row r="499" spans="1:73">
      <c r="A499" s="13"/>
      <c r="B499" s="13"/>
      <c r="C499" s="13"/>
      <c r="D499" s="13"/>
      <c r="E499" s="13"/>
      <c r="F499" s="13"/>
      <c r="G499" s="36"/>
      <c r="H499" s="36"/>
      <c r="I499" s="36"/>
      <c r="J499" s="36"/>
      <c r="K499" s="36"/>
      <c r="L499" s="36"/>
      <c r="M499" s="36"/>
      <c r="N499" s="13"/>
      <c r="O499" s="202"/>
      <c r="P499" s="36"/>
      <c r="Q499" s="52"/>
      <c r="R499" s="52"/>
      <c r="S499" s="52"/>
      <c r="U499" s="202"/>
      <c r="V499" s="202"/>
      <c r="W499" s="202"/>
      <c r="X499" s="202"/>
      <c r="Y499" s="13"/>
      <c r="Z499" s="36"/>
      <c r="AA499" s="13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289"/>
      <c r="AO499" s="289"/>
      <c r="AP499" s="289"/>
      <c r="AQ499" s="36"/>
      <c r="AR499" s="283"/>
      <c r="AS499" s="13"/>
      <c r="AT499" s="13"/>
      <c r="AU499" s="32"/>
      <c r="AV499" s="277"/>
      <c r="AW499" s="277"/>
      <c r="AX499" s="277"/>
      <c r="AY499" s="280"/>
      <c r="AZ499" s="268"/>
      <c r="BA499" s="268"/>
      <c r="BB499" s="13"/>
      <c r="BC499" s="36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</row>
    <row r="500" spans="1:73">
      <c r="A500" s="13"/>
      <c r="B500" s="13"/>
      <c r="C500" s="13"/>
      <c r="D500" s="13"/>
      <c r="E500" s="13"/>
      <c r="F500" s="13"/>
      <c r="G500" s="36"/>
      <c r="H500" s="36"/>
      <c r="I500" s="36"/>
      <c r="J500" s="36"/>
      <c r="K500" s="36"/>
      <c r="L500" s="36"/>
      <c r="M500" s="36"/>
      <c r="N500" s="13"/>
      <c r="O500" s="202"/>
      <c r="P500" s="36"/>
      <c r="Q500" s="52"/>
      <c r="R500" s="52"/>
      <c r="S500" s="52"/>
      <c r="U500" s="202"/>
      <c r="V500" s="202"/>
      <c r="W500" s="202"/>
      <c r="X500" s="202"/>
      <c r="Y500" s="13"/>
      <c r="Z500" s="36"/>
      <c r="AA500" s="13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289"/>
      <c r="AO500" s="289"/>
      <c r="AP500" s="289"/>
      <c r="AQ500" s="36"/>
      <c r="AR500" s="283"/>
      <c r="AS500" s="13"/>
      <c r="AT500" s="13"/>
      <c r="AU500" s="32"/>
      <c r="AV500" s="277"/>
      <c r="AW500" s="277"/>
      <c r="AX500" s="277"/>
      <c r="AY500" s="280"/>
      <c r="AZ500" s="268"/>
      <c r="BA500" s="268"/>
      <c r="BB500" s="13"/>
      <c r="BC500" s="36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</row>
    <row r="501" spans="1:73">
      <c r="A501" s="13"/>
      <c r="B501" s="13"/>
      <c r="C501" s="13"/>
      <c r="D501" s="13"/>
      <c r="E501" s="13"/>
      <c r="F501" s="13"/>
      <c r="G501" s="36"/>
      <c r="H501" s="36"/>
      <c r="I501" s="36"/>
      <c r="J501" s="36"/>
      <c r="K501" s="36"/>
      <c r="L501" s="36"/>
      <c r="M501" s="36"/>
      <c r="N501" s="13"/>
      <c r="O501" s="202"/>
      <c r="P501" s="36"/>
      <c r="Q501" s="52"/>
      <c r="R501" s="52"/>
      <c r="S501" s="52"/>
      <c r="U501" s="202"/>
      <c r="V501" s="202"/>
      <c r="W501" s="202"/>
      <c r="X501" s="202"/>
      <c r="Y501" s="13"/>
      <c r="Z501" s="36"/>
      <c r="AA501" s="13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289"/>
      <c r="AO501" s="289"/>
      <c r="AP501" s="289"/>
      <c r="AQ501" s="36"/>
      <c r="AR501" s="283"/>
      <c r="AS501" s="13"/>
      <c r="AT501" s="13"/>
      <c r="AU501" s="32"/>
      <c r="AV501" s="277"/>
      <c r="AW501" s="277"/>
      <c r="AX501" s="277"/>
      <c r="AY501" s="280"/>
      <c r="AZ501" s="268"/>
      <c r="BA501" s="268"/>
      <c r="BB501" s="13"/>
      <c r="BC501" s="36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</row>
    <row r="502" spans="1:73">
      <c r="A502" s="13"/>
      <c r="B502" s="13"/>
      <c r="C502" s="13"/>
      <c r="D502" s="13"/>
      <c r="E502" s="13"/>
      <c r="F502" s="13"/>
      <c r="G502" s="36"/>
      <c r="H502" s="36"/>
      <c r="I502" s="36"/>
      <c r="J502" s="36"/>
      <c r="K502" s="36"/>
      <c r="L502" s="36"/>
      <c r="M502" s="36"/>
      <c r="N502" s="13"/>
      <c r="O502" s="202"/>
      <c r="P502" s="36"/>
      <c r="Q502" s="52"/>
      <c r="R502" s="52"/>
      <c r="S502" s="52"/>
      <c r="U502" s="202"/>
      <c r="V502" s="202"/>
      <c r="W502" s="202"/>
      <c r="X502" s="202"/>
      <c r="Y502" s="13"/>
      <c r="Z502" s="36"/>
      <c r="AA502" s="13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289"/>
      <c r="AO502" s="289"/>
      <c r="AP502" s="289"/>
      <c r="AQ502" s="36"/>
      <c r="AR502" s="283"/>
      <c r="AS502" s="13"/>
      <c r="AT502" s="13"/>
      <c r="AU502" s="32"/>
      <c r="AV502" s="277"/>
      <c r="AW502" s="277"/>
      <c r="AX502" s="277"/>
      <c r="AY502" s="280"/>
      <c r="AZ502" s="268"/>
      <c r="BA502" s="268"/>
      <c r="BB502" s="13"/>
      <c r="BC502" s="36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</row>
    <row r="503" spans="1:73">
      <c r="A503" s="13"/>
      <c r="B503" s="13"/>
      <c r="C503" s="13"/>
      <c r="D503" s="13"/>
      <c r="E503" s="13"/>
      <c r="F503" s="13"/>
      <c r="G503" s="36"/>
      <c r="H503" s="36"/>
      <c r="I503" s="36"/>
      <c r="J503" s="36"/>
      <c r="K503" s="36"/>
      <c r="L503" s="36"/>
      <c r="M503" s="36"/>
      <c r="N503" s="13"/>
      <c r="O503" s="202"/>
      <c r="P503" s="36"/>
      <c r="Q503" s="52"/>
      <c r="R503" s="52"/>
      <c r="S503" s="52"/>
      <c r="U503" s="202"/>
      <c r="V503" s="202"/>
      <c r="W503" s="202"/>
      <c r="X503" s="202"/>
      <c r="Y503" s="13"/>
      <c r="Z503" s="36"/>
      <c r="AA503" s="13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289"/>
      <c r="AO503" s="289"/>
      <c r="AP503" s="289"/>
      <c r="AQ503" s="36"/>
      <c r="AR503" s="283"/>
      <c r="AS503" s="13"/>
      <c r="AT503" s="13"/>
      <c r="AU503" s="32"/>
      <c r="AV503" s="277"/>
      <c r="AW503" s="277"/>
      <c r="AX503" s="277"/>
      <c r="AY503" s="280"/>
      <c r="AZ503" s="268"/>
      <c r="BA503" s="268"/>
      <c r="BB503" s="13"/>
      <c r="BC503" s="36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</row>
    <row r="504" spans="1:73">
      <c r="A504" s="13"/>
      <c r="B504" s="13"/>
      <c r="C504" s="13"/>
      <c r="D504" s="13"/>
      <c r="E504" s="13"/>
      <c r="F504" s="13"/>
      <c r="G504" s="36"/>
      <c r="H504" s="36"/>
      <c r="I504" s="36"/>
      <c r="J504" s="36"/>
      <c r="K504" s="36"/>
      <c r="L504" s="36"/>
      <c r="M504" s="36"/>
      <c r="N504" s="13"/>
      <c r="O504" s="202"/>
      <c r="P504" s="36"/>
      <c r="Q504" s="52"/>
      <c r="R504" s="52"/>
      <c r="S504" s="52"/>
      <c r="U504" s="202"/>
      <c r="V504" s="202"/>
      <c r="W504" s="202"/>
      <c r="X504" s="202"/>
      <c r="Y504" s="13"/>
      <c r="Z504" s="36"/>
      <c r="AA504" s="13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289"/>
      <c r="AO504" s="289"/>
      <c r="AP504" s="289"/>
      <c r="AQ504" s="36"/>
      <c r="AR504" s="283"/>
      <c r="AS504" s="13"/>
      <c r="AT504" s="13"/>
      <c r="AU504" s="32"/>
      <c r="AV504" s="277"/>
      <c r="AW504" s="277"/>
      <c r="AX504" s="277"/>
      <c r="AY504" s="280"/>
      <c r="AZ504" s="268"/>
      <c r="BA504" s="268"/>
      <c r="BB504" s="13"/>
      <c r="BC504" s="36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</row>
    <row r="505" spans="1:73">
      <c r="A505" s="13"/>
      <c r="B505" s="13"/>
      <c r="C505" s="13"/>
      <c r="D505" s="13"/>
      <c r="E505" s="13"/>
      <c r="F505" s="13"/>
      <c r="G505" s="36"/>
      <c r="H505" s="36"/>
      <c r="I505" s="36"/>
      <c r="J505" s="36"/>
      <c r="K505" s="36"/>
      <c r="L505" s="36"/>
      <c r="M505" s="36"/>
      <c r="N505" s="13"/>
      <c r="O505" s="202"/>
      <c r="P505" s="36"/>
      <c r="Q505" s="52"/>
      <c r="R505" s="52"/>
      <c r="S505" s="52"/>
      <c r="U505" s="202"/>
      <c r="V505" s="202"/>
      <c r="W505" s="202"/>
      <c r="X505" s="202"/>
      <c r="Y505" s="13"/>
      <c r="Z505" s="36"/>
      <c r="AA505" s="13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289"/>
      <c r="AO505" s="289"/>
      <c r="AP505" s="289"/>
      <c r="AQ505" s="36"/>
      <c r="AR505" s="283"/>
      <c r="AS505" s="13"/>
      <c r="AT505" s="13"/>
      <c r="AU505" s="32"/>
      <c r="AV505" s="277"/>
      <c r="AW505" s="277"/>
      <c r="AX505" s="277"/>
      <c r="AY505" s="280"/>
      <c r="AZ505" s="268"/>
      <c r="BA505" s="268"/>
      <c r="BB505" s="13"/>
      <c r="BC505" s="36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</row>
    <row r="506" spans="1:73">
      <c r="A506" s="13"/>
      <c r="B506" s="13"/>
      <c r="C506" s="13"/>
      <c r="D506" s="13"/>
      <c r="E506" s="13"/>
      <c r="F506" s="13"/>
      <c r="G506" s="36"/>
      <c r="H506" s="36"/>
      <c r="I506" s="36"/>
      <c r="J506" s="36"/>
      <c r="K506" s="36"/>
      <c r="L506" s="36"/>
      <c r="M506" s="36"/>
      <c r="N506" s="13"/>
      <c r="O506" s="202"/>
      <c r="P506" s="36"/>
      <c r="Q506" s="52"/>
      <c r="R506" s="52"/>
      <c r="S506" s="52"/>
      <c r="U506" s="202"/>
      <c r="V506" s="202"/>
      <c r="W506" s="202"/>
      <c r="X506" s="202"/>
      <c r="Y506" s="13"/>
      <c r="Z506" s="36"/>
      <c r="AA506" s="13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289"/>
      <c r="AO506" s="289"/>
      <c r="AP506" s="289"/>
      <c r="AQ506" s="36"/>
      <c r="AR506" s="283"/>
      <c r="AS506" s="13"/>
      <c r="AT506" s="13"/>
      <c r="AU506" s="32"/>
      <c r="AV506" s="277"/>
      <c r="AW506" s="277"/>
      <c r="AX506" s="277"/>
      <c r="AY506" s="280"/>
      <c r="AZ506" s="268"/>
      <c r="BA506" s="268"/>
      <c r="BB506" s="13"/>
      <c r="BC506" s="36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</row>
    <row r="507" spans="1:73">
      <c r="A507" s="13"/>
      <c r="B507" s="13"/>
      <c r="C507" s="13"/>
      <c r="D507" s="13"/>
      <c r="E507" s="13"/>
      <c r="F507" s="13"/>
      <c r="G507" s="36"/>
      <c r="H507" s="36"/>
      <c r="I507" s="36"/>
      <c r="J507" s="36"/>
      <c r="K507" s="36"/>
      <c r="L507" s="36"/>
      <c r="M507" s="36"/>
      <c r="N507" s="13"/>
      <c r="O507" s="202"/>
      <c r="P507" s="36"/>
      <c r="Q507" s="52"/>
      <c r="R507" s="52"/>
      <c r="S507" s="52"/>
      <c r="U507" s="202"/>
      <c r="V507" s="202"/>
      <c r="W507" s="202"/>
      <c r="X507" s="202"/>
      <c r="Y507" s="13"/>
      <c r="Z507" s="36"/>
      <c r="AA507" s="13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289"/>
      <c r="AO507" s="289"/>
      <c r="AP507" s="289"/>
      <c r="AQ507" s="36"/>
      <c r="AR507" s="283"/>
      <c r="AS507" s="13"/>
      <c r="AT507" s="13"/>
      <c r="AU507" s="32"/>
      <c r="AV507" s="277"/>
      <c r="AW507" s="277"/>
      <c r="AX507" s="277"/>
      <c r="AY507" s="280"/>
      <c r="AZ507" s="268"/>
      <c r="BA507" s="268"/>
      <c r="BB507" s="13"/>
      <c r="BC507" s="36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</row>
    <row r="508" spans="1:73">
      <c r="A508" s="13"/>
      <c r="B508" s="13"/>
      <c r="C508" s="13"/>
      <c r="D508" s="13"/>
      <c r="E508" s="13"/>
      <c r="F508" s="13"/>
      <c r="G508" s="36"/>
      <c r="H508" s="36"/>
      <c r="I508" s="36"/>
      <c r="J508" s="36"/>
      <c r="K508" s="36"/>
      <c r="L508" s="36"/>
      <c r="M508" s="36"/>
      <c r="N508" s="13"/>
      <c r="O508" s="202"/>
      <c r="P508" s="36"/>
      <c r="Q508" s="52"/>
      <c r="R508" s="52"/>
      <c r="S508" s="52"/>
      <c r="U508" s="202"/>
      <c r="V508" s="202"/>
      <c r="W508" s="202"/>
      <c r="X508" s="202"/>
      <c r="Y508" s="13"/>
      <c r="Z508" s="36"/>
      <c r="AA508" s="13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289"/>
      <c r="AO508" s="289"/>
      <c r="AP508" s="289"/>
      <c r="AQ508" s="36"/>
      <c r="AR508" s="283"/>
      <c r="AS508" s="13"/>
      <c r="AT508" s="13"/>
      <c r="AU508" s="32"/>
      <c r="AV508" s="277"/>
      <c r="AW508" s="277"/>
      <c r="AX508" s="277"/>
      <c r="AY508" s="280"/>
      <c r="AZ508" s="268"/>
      <c r="BA508" s="268"/>
      <c r="BB508" s="13"/>
      <c r="BC508" s="36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</row>
    <row r="509" spans="1:73">
      <c r="A509" s="13"/>
      <c r="B509" s="13"/>
      <c r="C509" s="13"/>
      <c r="D509" s="13"/>
      <c r="E509" s="13"/>
      <c r="F509" s="13"/>
      <c r="G509" s="36"/>
      <c r="H509" s="36"/>
      <c r="I509" s="36"/>
      <c r="J509" s="36"/>
      <c r="K509" s="36"/>
      <c r="L509" s="36"/>
      <c r="M509" s="36"/>
      <c r="N509" s="13"/>
      <c r="O509" s="202"/>
      <c r="P509" s="36"/>
      <c r="Q509" s="52"/>
      <c r="R509" s="52"/>
      <c r="S509" s="52"/>
      <c r="U509" s="202"/>
      <c r="V509" s="202"/>
      <c r="W509" s="202"/>
      <c r="X509" s="202"/>
      <c r="Y509" s="13"/>
      <c r="Z509" s="36"/>
      <c r="AA509" s="13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289"/>
      <c r="AO509" s="289"/>
      <c r="AP509" s="289"/>
      <c r="AQ509" s="36"/>
      <c r="AR509" s="283"/>
      <c r="AS509" s="13"/>
      <c r="AT509" s="13"/>
      <c r="AU509" s="32"/>
      <c r="AV509" s="277"/>
      <c r="AW509" s="277"/>
      <c r="AX509" s="277"/>
      <c r="AY509" s="280"/>
      <c r="AZ509" s="268"/>
      <c r="BA509" s="268"/>
      <c r="BB509" s="13"/>
      <c r="BC509" s="36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</row>
    <row r="510" spans="1:73">
      <c r="A510" s="13"/>
      <c r="B510" s="13"/>
      <c r="C510" s="13"/>
      <c r="D510" s="13"/>
      <c r="E510" s="13"/>
      <c r="F510" s="13"/>
      <c r="G510" s="36"/>
      <c r="H510" s="36"/>
      <c r="I510" s="36"/>
      <c r="J510" s="36"/>
      <c r="K510" s="36"/>
      <c r="L510" s="36"/>
      <c r="M510" s="36"/>
      <c r="N510" s="13"/>
      <c r="O510" s="202"/>
      <c r="P510" s="36"/>
      <c r="Q510" s="52"/>
      <c r="R510" s="52"/>
      <c r="S510" s="52"/>
      <c r="U510" s="202"/>
      <c r="V510" s="202"/>
      <c r="W510" s="202"/>
      <c r="X510" s="202"/>
      <c r="Y510" s="13"/>
      <c r="Z510" s="36"/>
      <c r="AA510" s="13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289"/>
      <c r="AO510" s="289"/>
      <c r="AP510" s="289"/>
      <c r="AQ510" s="36"/>
      <c r="AR510" s="283"/>
      <c r="AS510" s="13"/>
      <c r="AT510" s="13"/>
      <c r="AU510" s="32"/>
      <c r="AV510" s="277"/>
      <c r="AW510" s="277"/>
      <c r="AX510" s="277"/>
      <c r="AY510" s="280"/>
      <c r="AZ510" s="268"/>
      <c r="BA510" s="268"/>
      <c r="BB510" s="13"/>
      <c r="BC510" s="36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</row>
    <row r="511" spans="1:73">
      <c r="A511" s="13"/>
      <c r="B511" s="13"/>
      <c r="C511" s="13"/>
      <c r="D511" s="13"/>
      <c r="E511" s="13"/>
      <c r="F511" s="13"/>
      <c r="G511" s="36"/>
      <c r="H511" s="36"/>
      <c r="I511" s="36"/>
      <c r="J511" s="36"/>
      <c r="K511" s="36"/>
      <c r="L511" s="36"/>
      <c r="M511" s="36"/>
      <c r="N511" s="13"/>
      <c r="O511" s="202"/>
      <c r="P511" s="36"/>
      <c r="Q511" s="52"/>
      <c r="R511" s="52"/>
      <c r="S511" s="52"/>
      <c r="U511" s="202"/>
      <c r="V511" s="202"/>
      <c r="W511" s="202"/>
      <c r="X511" s="202"/>
      <c r="Y511" s="13"/>
      <c r="Z511" s="36"/>
      <c r="AA511" s="13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289"/>
      <c r="AO511" s="289"/>
      <c r="AP511" s="289"/>
      <c r="AQ511" s="36"/>
      <c r="AR511" s="283"/>
      <c r="AS511" s="13"/>
      <c r="AT511" s="13"/>
      <c r="AU511" s="32"/>
      <c r="AV511" s="277"/>
      <c r="AW511" s="277"/>
      <c r="AX511" s="277"/>
      <c r="AY511" s="280"/>
      <c r="AZ511" s="268"/>
      <c r="BA511" s="268"/>
      <c r="BB511" s="13"/>
      <c r="BC511" s="36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</row>
    <row r="512" spans="1:73">
      <c r="A512" s="13"/>
      <c r="B512" s="13"/>
      <c r="C512" s="13"/>
      <c r="D512" s="13"/>
      <c r="E512" s="13"/>
      <c r="F512" s="13"/>
      <c r="G512" s="36"/>
      <c r="H512" s="36"/>
      <c r="I512" s="36"/>
      <c r="J512" s="36"/>
      <c r="K512" s="36"/>
      <c r="L512" s="36"/>
      <c r="M512" s="36"/>
      <c r="N512" s="13"/>
      <c r="O512" s="202"/>
      <c r="P512" s="36"/>
      <c r="Q512" s="52"/>
      <c r="R512" s="52"/>
      <c r="S512" s="52"/>
      <c r="U512" s="202"/>
      <c r="V512" s="202"/>
      <c r="W512" s="202"/>
      <c r="X512" s="202"/>
      <c r="Y512" s="13"/>
      <c r="Z512" s="36"/>
      <c r="AA512" s="13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289"/>
      <c r="AO512" s="289"/>
      <c r="AP512" s="289"/>
      <c r="AQ512" s="36"/>
      <c r="AR512" s="283"/>
      <c r="AS512" s="13"/>
      <c r="AT512" s="13"/>
      <c r="AU512" s="32"/>
      <c r="AV512" s="277"/>
      <c r="AW512" s="277"/>
      <c r="AX512" s="277"/>
      <c r="AY512" s="280"/>
      <c r="AZ512" s="268"/>
      <c r="BA512" s="268"/>
      <c r="BB512" s="13"/>
      <c r="BC512" s="36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</row>
    <row r="513" spans="1:73">
      <c r="A513" s="13"/>
      <c r="B513" s="13"/>
      <c r="C513" s="13"/>
      <c r="D513" s="13"/>
      <c r="E513" s="13"/>
      <c r="F513" s="13"/>
      <c r="G513" s="36"/>
      <c r="H513" s="36"/>
      <c r="I513" s="36"/>
      <c r="J513" s="36"/>
      <c r="K513" s="36"/>
      <c r="L513" s="36"/>
      <c r="M513" s="36"/>
      <c r="N513" s="13"/>
      <c r="O513" s="202"/>
      <c r="P513" s="36"/>
      <c r="Q513" s="52"/>
      <c r="R513" s="52"/>
      <c r="S513" s="52"/>
      <c r="U513" s="202"/>
      <c r="V513" s="202"/>
      <c r="W513" s="202"/>
      <c r="X513" s="202"/>
      <c r="Y513" s="13"/>
      <c r="Z513" s="36"/>
      <c r="AA513" s="13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289"/>
      <c r="AO513" s="289"/>
      <c r="AP513" s="289"/>
      <c r="AQ513" s="36"/>
      <c r="AR513" s="283"/>
      <c r="AS513" s="13"/>
      <c r="AT513" s="13"/>
      <c r="AU513" s="32"/>
      <c r="AV513" s="277"/>
      <c r="AW513" s="277"/>
      <c r="AX513" s="277"/>
      <c r="AY513" s="280"/>
      <c r="AZ513" s="268"/>
      <c r="BA513" s="268"/>
      <c r="BB513" s="13"/>
      <c r="BC513" s="36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</row>
    <row r="514" spans="1:73">
      <c r="A514" s="13"/>
      <c r="B514" s="13"/>
      <c r="C514" s="13"/>
      <c r="D514" s="13"/>
      <c r="E514" s="13"/>
      <c r="F514" s="13"/>
      <c r="G514" s="36"/>
      <c r="H514" s="36"/>
      <c r="I514" s="36"/>
      <c r="J514" s="36"/>
      <c r="K514" s="36"/>
      <c r="L514" s="36"/>
      <c r="M514" s="36"/>
      <c r="N514" s="13"/>
      <c r="O514" s="202"/>
      <c r="P514" s="36"/>
      <c r="Q514" s="52"/>
      <c r="R514" s="52"/>
      <c r="S514" s="52"/>
      <c r="U514" s="202"/>
      <c r="V514" s="202"/>
      <c r="W514" s="202"/>
      <c r="X514" s="202"/>
      <c r="Y514" s="13"/>
      <c r="Z514" s="36"/>
      <c r="AA514" s="13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289"/>
      <c r="AO514" s="289"/>
      <c r="AP514" s="289"/>
      <c r="AQ514" s="36"/>
      <c r="AR514" s="283"/>
      <c r="AS514" s="13"/>
      <c r="AT514" s="13"/>
      <c r="AU514" s="32"/>
      <c r="AV514" s="277"/>
      <c r="AW514" s="277"/>
      <c r="AX514" s="277"/>
      <c r="AY514" s="280"/>
      <c r="AZ514" s="268"/>
      <c r="BA514" s="268"/>
      <c r="BB514" s="13"/>
      <c r="BC514" s="36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</row>
    <row r="515" spans="1:73">
      <c r="A515" s="13"/>
      <c r="B515" s="13"/>
      <c r="C515" s="13"/>
      <c r="D515" s="13"/>
      <c r="E515" s="13"/>
      <c r="F515" s="13"/>
      <c r="G515" s="36"/>
      <c r="H515" s="36"/>
      <c r="I515" s="36"/>
      <c r="J515" s="36"/>
      <c r="K515" s="36"/>
      <c r="L515" s="36"/>
      <c r="M515" s="36"/>
      <c r="N515" s="13"/>
      <c r="O515" s="202"/>
      <c r="P515" s="36"/>
      <c r="Q515" s="52"/>
      <c r="R515" s="52"/>
      <c r="S515" s="52"/>
      <c r="U515" s="202"/>
      <c r="V515" s="202"/>
      <c r="W515" s="202"/>
      <c r="X515" s="202"/>
      <c r="Y515" s="13"/>
      <c r="Z515" s="36"/>
      <c r="AA515" s="13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289"/>
      <c r="AO515" s="289"/>
      <c r="AP515" s="289"/>
      <c r="AQ515" s="36"/>
      <c r="AR515" s="283"/>
      <c r="AS515" s="13"/>
      <c r="AT515" s="13"/>
      <c r="AU515" s="32"/>
      <c r="AV515" s="277"/>
      <c r="AW515" s="277"/>
      <c r="AX515" s="277"/>
      <c r="AY515" s="280"/>
      <c r="AZ515" s="268"/>
      <c r="BA515" s="268"/>
      <c r="BB515" s="13"/>
      <c r="BC515" s="36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</row>
    <row r="516" spans="1:73">
      <c r="A516" s="13"/>
      <c r="B516" s="13"/>
      <c r="C516" s="13"/>
      <c r="D516" s="13"/>
      <c r="E516" s="13"/>
      <c r="F516" s="13"/>
      <c r="G516" s="36"/>
      <c r="H516" s="36"/>
      <c r="I516" s="36"/>
      <c r="J516" s="36"/>
      <c r="K516" s="36"/>
      <c r="L516" s="36"/>
      <c r="M516" s="36"/>
      <c r="N516" s="13"/>
      <c r="O516" s="202"/>
      <c r="P516" s="36"/>
      <c r="Q516" s="52"/>
      <c r="R516" s="52"/>
      <c r="S516" s="52"/>
      <c r="U516" s="202"/>
      <c r="V516" s="202"/>
      <c r="W516" s="202"/>
      <c r="X516" s="202"/>
      <c r="Y516" s="13"/>
      <c r="Z516" s="36"/>
      <c r="AA516" s="13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289"/>
      <c r="AO516" s="289"/>
      <c r="AP516" s="289"/>
      <c r="AQ516" s="36"/>
      <c r="AR516" s="283"/>
      <c r="AS516" s="13"/>
      <c r="AT516" s="13"/>
      <c r="AU516" s="32"/>
      <c r="AV516" s="277"/>
      <c r="AW516" s="277"/>
      <c r="AX516" s="277"/>
      <c r="AY516" s="280"/>
      <c r="AZ516" s="268"/>
      <c r="BA516" s="268"/>
      <c r="BB516" s="13"/>
      <c r="BC516" s="36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</row>
    <row r="517" spans="1:73">
      <c r="A517" s="13"/>
      <c r="B517" s="13"/>
      <c r="C517" s="13"/>
      <c r="D517" s="13"/>
      <c r="E517" s="13"/>
      <c r="F517" s="13"/>
      <c r="G517" s="36"/>
      <c r="H517" s="36"/>
      <c r="I517" s="36"/>
      <c r="J517" s="36"/>
      <c r="K517" s="36"/>
      <c r="L517" s="36"/>
      <c r="M517" s="36"/>
      <c r="N517" s="13"/>
      <c r="O517" s="202"/>
      <c r="P517" s="36"/>
      <c r="Q517" s="52"/>
      <c r="R517" s="52"/>
      <c r="S517" s="52"/>
      <c r="U517" s="202"/>
      <c r="V517" s="202"/>
      <c r="W517" s="202"/>
      <c r="X517" s="202"/>
      <c r="Y517" s="13"/>
      <c r="Z517" s="36"/>
      <c r="AA517" s="13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289"/>
      <c r="AO517" s="289"/>
      <c r="AP517" s="289"/>
      <c r="AQ517" s="36"/>
      <c r="AR517" s="283"/>
      <c r="AS517" s="13"/>
      <c r="AT517" s="13"/>
      <c r="AU517" s="32"/>
      <c r="AV517" s="277"/>
      <c r="AW517" s="277"/>
      <c r="AX517" s="277"/>
      <c r="AY517" s="280"/>
      <c r="AZ517" s="268"/>
      <c r="BA517" s="268"/>
      <c r="BB517" s="13"/>
      <c r="BC517" s="36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</row>
    <row r="518" spans="1:73">
      <c r="A518" s="13"/>
      <c r="B518" s="13"/>
      <c r="C518" s="13"/>
      <c r="D518" s="13"/>
      <c r="E518" s="13"/>
      <c r="F518" s="13"/>
      <c r="G518" s="36"/>
      <c r="H518" s="36"/>
      <c r="I518" s="36"/>
      <c r="J518" s="36"/>
      <c r="K518" s="36"/>
      <c r="L518" s="36"/>
      <c r="M518" s="36"/>
      <c r="N518" s="13"/>
      <c r="O518" s="202"/>
      <c r="P518" s="36"/>
      <c r="Q518" s="52"/>
      <c r="R518" s="52"/>
      <c r="S518" s="52"/>
      <c r="U518" s="202"/>
      <c r="V518" s="202"/>
      <c r="W518" s="202"/>
      <c r="X518" s="202"/>
      <c r="Y518" s="13"/>
      <c r="Z518" s="36"/>
      <c r="AA518" s="13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289"/>
      <c r="AO518" s="289"/>
      <c r="AP518" s="289"/>
      <c r="AQ518" s="36"/>
      <c r="AR518" s="283"/>
      <c r="AS518" s="13"/>
      <c r="AT518" s="13"/>
      <c r="AU518" s="32"/>
      <c r="AV518" s="277"/>
      <c r="AW518" s="277"/>
      <c r="AX518" s="277"/>
      <c r="AY518" s="280"/>
      <c r="AZ518" s="268"/>
      <c r="BA518" s="268"/>
      <c r="BB518" s="13"/>
      <c r="BC518" s="36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</row>
    <row r="519" spans="1:73">
      <c r="A519" s="13"/>
      <c r="B519" s="13"/>
      <c r="C519" s="13"/>
      <c r="D519" s="13"/>
      <c r="E519" s="13"/>
      <c r="F519" s="13"/>
      <c r="G519" s="36"/>
      <c r="H519" s="36"/>
      <c r="I519" s="36"/>
      <c r="J519" s="36"/>
      <c r="K519" s="36"/>
      <c r="L519" s="36"/>
      <c r="M519" s="36"/>
      <c r="N519" s="13"/>
      <c r="O519" s="202"/>
      <c r="P519" s="36"/>
      <c r="Q519" s="52"/>
      <c r="R519" s="52"/>
      <c r="S519" s="52"/>
      <c r="U519" s="202"/>
      <c r="V519" s="202"/>
      <c r="W519" s="202"/>
      <c r="X519" s="202"/>
      <c r="Y519" s="13"/>
      <c r="Z519" s="36"/>
      <c r="AA519" s="13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289"/>
      <c r="AO519" s="289"/>
      <c r="AP519" s="289"/>
      <c r="AQ519" s="36"/>
      <c r="AR519" s="283"/>
      <c r="AS519" s="13"/>
      <c r="AT519" s="13"/>
      <c r="AU519" s="32"/>
      <c r="AV519" s="277"/>
      <c r="AW519" s="277"/>
      <c r="AX519" s="277"/>
      <c r="AY519" s="280"/>
      <c r="AZ519" s="268"/>
      <c r="BA519" s="268"/>
      <c r="BB519" s="13"/>
      <c r="BC519" s="36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</row>
    <row r="520" spans="1:73">
      <c r="A520" s="13"/>
      <c r="B520" s="13"/>
      <c r="C520" s="13"/>
      <c r="D520" s="13"/>
      <c r="E520" s="13"/>
      <c r="F520" s="13"/>
      <c r="G520" s="36"/>
      <c r="H520" s="36"/>
      <c r="I520" s="36"/>
      <c r="J520" s="36"/>
      <c r="K520" s="36"/>
      <c r="L520" s="36"/>
      <c r="M520" s="36"/>
      <c r="N520" s="13"/>
      <c r="O520" s="202"/>
      <c r="P520" s="36"/>
      <c r="Q520" s="52"/>
      <c r="R520" s="52"/>
      <c r="S520" s="52"/>
      <c r="U520" s="202"/>
      <c r="V520" s="202"/>
      <c r="W520" s="202"/>
      <c r="X520" s="202"/>
      <c r="Y520" s="13"/>
      <c r="Z520" s="36"/>
      <c r="AA520" s="13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289"/>
      <c r="AO520" s="289"/>
      <c r="AP520" s="289"/>
      <c r="AQ520" s="36"/>
      <c r="AR520" s="283"/>
      <c r="AS520" s="13"/>
      <c r="AT520" s="13"/>
      <c r="AU520" s="32"/>
      <c r="AV520" s="277"/>
      <c r="AW520" s="277"/>
      <c r="AX520" s="277"/>
      <c r="AY520" s="280"/>
      <c r="AZ520" s="268"/>
      <c r="BA520" s="268"/>
      <c r="BB520" s="13"/>
      <c r="BC520" s="36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</row>
    <row r="521" spans="1:73">
      <c r="A521" s="13"/>
      <c r="B521" s="13"/>
      <c r="C521" s="13"/>
      <c r="D521" s="13"/>
      <c r="E521" s="13"/>
      <c r="F521" s="13"/>
      <c r="G521" s="36"/>
      <c r="H521" s="36"/>
      <c r="I521" s="36"/>
      <c r="J521" s="36"/>
      <c r="K521" s="36"/>
      <c r="L521" s="36"/>
      <c r="M521" s="36"/>
      <c r="N521" s="13"/>
      <c r="O521" s="202"/>
      <c r="P521" s="36"/>
      <c r="Q521" s="52"/>
      <c r="R521" s="52"/>
      <c r="S521" s="52"/>
      <c r="U521" s="202"/>
      <c r="V521" s="202"/>
      <c r="W521" s="202"/>
      <c r="X521" s="202"/>
      <c r="Y521" s="13"/>
      <c r="Z521" s="36"/>
      <c r="AA521" s="13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289"/>
      <c r="AO521" s="289"/>
      <c r="AP521" s="289"/>
      <c r="AQ521" s="36"/>
      <c r="AR521" s="283"/>
      <c r="AS521" s="13"/>
      <c r="AT521" s="13"/>
      <c r="AU521" s="32"/>
      <c r="AV521" s="277"/>
      <c r="AW521" s="277"/>
      <c r="AX521" s="277"/>
      <c r="AY521" s="280"/>
      <c r="AZ521" s="268"/>
      <c r="BA521" s="268"/>
      <c r="BB521" s="13"/>
      <c r="BC521" s="36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</row>
    <row r="522" spans="1:73">
      <c r="A522" s="13"/>
      <c r="B522" s="13"/>
      <c r="C522" s="13"/>
      <c r="D522" s="13"/>
      <c r="E522" s="13"/>
      <c r="F522" s="13"/>
      <c r="G522" s="36"/>
      <c r="H522" s="36"/>
      <c r="I522" s="36"/>
      <c r="J522" s="36"/>
      <c r="K522" s="36"/>
      <c r="L522" s="36"/>
      <c r="M522" s="36"/>
      <c r="N522" s="13"/>
      <c r="O522" s="202"/>
      <c r="P522" s="36"/>
      <c r="Q522" s="52"/>
      <c r="R522" s="52"/>
      <c r="S522" s="52"/>
      <c r="U522" s="202"/>
      <c r="V522" s="202"/>
      <c r="W522" s="202"/>
      <c r="X522" s="202"/>
      <c r="Y522" s="13"/>
      <c r="Z522" s="36"/>
      <c r="AA522" s="13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289"/>
      <c r="AO522" s="289"/>
      <c r="AP522" s="289"/>
      <c r="AQ522" s="36"/>
      <c r="AR522" s="283"/>
      <c r="AS522" s="13"/>
      <c r="AT522" s="13"/>
      <c r="AU522" s="32"/>
      <c r="AV522" s="277"/>
      <c r="AW522" s="277"/>
      <c r="AX522" s="277"/>
      <c r="AY522" s="280"/>
      <c r="AZ522" s="268"/>
      <c r="BA522" s="268"/>
      <c r="BB522" s="13"/>
      <c r="BC522" s="36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</row>
    <row r="523" spans="1:73">
      <c r="A523" s="13"/>
      <c r="B523" s="13"/>
      <c r="C523" s="13"/>
      <c r="D523" s="13"/>
      <c r="E523" s="13"/>
      <c r="F523" s="13"/>
      <c r="G523" s="36"/>
      <c r="H523" s="36"/>
      <c r="I523" s="36"/>
      <c r="J523" s="36"/>
      <c r="K523" s="36"/>
      <c r="L523" s="36"/>
      <c r="M523" s="36"/>
      <c r="N523" s="13"/>
      <c r="O523" s="202"/>
      <c r="P523" s="36"/>
      <c r="Q523" s="52"/>
      <c r="R523" s="52"/>
      <c r="S523" s="52"/>
      <c r="U523" s="202"/>
      <c r="V523" s="202"/>
      <c r="W523" s="202"/>
      <c r="X523" s="202"/>
      <c r="Y523" s="13"/>
      <c r="Z523" s="36"/>
      <c r="AA523" s="13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289"/>
      <c r="AO523" s="289"/>
      <c r="AP523" s="289"/>
      <c r="AQ523" s="36"/>
      <c r="AR523" s="283"/>
      <c r="AS523" s="13"/>
      <c r="AT523" s="13"/>
      <c r="AU523" s="32"/>
      <c r="AV523" s="277"/>
      <c r="AW523" s="277"/>
      <c r="AX523" s="277"/>
      <c r="AY523" s="280"/>
      <c r="AZ523" s="268"/>
      <c r="BA523" s="268"/>
      <c r="BB523" s="13"/>
      <c r="BC523" s="36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</row>
    <row r="524" spans="1:73">
      <c r="A524" s="13"/>
      <c r="B524" s="13"/>
      <c r="C524" s="13"/>
      <c r="D524" s="13"/>
      <c r="E524" s="13"/>
      <c r="F524" s="13"/>
      <c r="G524" s="36"/>
      <c r="H524" s="36"/>
      <c r="I524" s="36"/>
      <c r="J524" s="36"/>
      <c r="K524" s="36"/>
      <c r="L524" s="36"/>
      <c r="M524" s="36"/>
      <c r="N524" s="13"/>
      <c r="O524" s="202"/>
      <c r="P524" s="36"/>
      <c r="Q524" s="52"/>
      <c r="R524" s="52"/>
      <c r="S524" s="52"/>
      <c r="U524" s="202"/>
      <c r="V524" s="202"/>
      <c r="W524" s="202"/>
      <c r="X524" s="202"/>
      <c r="Y524" s="13"/>
      <c r="Z524" s="36"/>
      <c r="AA524" s="13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289"/>
      <c r="AO524" s="289"/>
      <c r="AP524" s="289"/>
      <c r="AQ524" s="36"/>
      <c r="AR524" s="283"/>
      <c r="AS524" s="13"/>
      <c r="AT524" s="13"/>
      <c r="AU524" s="32"/>
      <c r="AV524" s="277"/>
      <c r="AW524" s="277"/>
      <c r="AX524" s="277"/>
      <c r="AY524" s="280"/>
      <c r="AZ524" s="268"/>
      <c r="BA524" s="268"/>
      <c r="BB524" s="13"/>
      <c r="BC524" s="36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</row>
    <row r="525" spans="1:73">
      <c r="A525" s="13"/>
      <c r="B525" s="13"/>
      <c r="C525" s="13"/>
      <c r="D525" s="13"/>
      <c r="E525" s="13"/>
      <c r="F525" s="13"/>
      <c r="G525" s="36"/>
      <c r="H525" s="36"/>
      <c r="I525" s="36"/>
      <c r="J525" s="36"/>
      <c r="K525" s="36"/>
      <c r="L525" s="36"/>
      <c r="M525" s="36"/>
      <c r="N525" s="13"/>
      <c r="O525" s="202"/>
      <c r="P525" s="36"/>
      <c r="Q525" s="52"/>
      <c r="R525" s="52"/>
      <c r="S525" s="52"/>
      <c r="U525" s="202"/>
      <c r="V525" s="202"/>
      <c r="W525" s="202"/>
      <c r="X525" s="202"/>
      <c r="Y525" s="13"/>
      <c r="Z525" s="36"/>
      <c r="AA525" s="13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289"/>
      <c r="AO525" s="289"/>
      <c r="AP525" s="289"/>
      <c r="AQ525" s="36"/>
      <c r="AR525" s="283"/>
      <c r="AS525" s="13"/>
      <c r="AT525" s="13"/>
      <c r="AU525" s="32"/>
      <c r="AV525" s="277"/>
      <c r="AW525" s="277"/>
      <c r="AX525" s="277"/>
      <c r="AY525" s="280"/>
      <c r="AZ525" s="268"/>
      <c r="BA525" s="268"/>
      <c r="BB525" s="13"/>
      <c r="BC525" s="36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</row>
    <row r="526" spans="1:73">
      <c r="A526" s="13"/>
      <c r="B526" s="13"/>
      <c r="C526" s="13"/>
      <c r="D526" s="13"/>
      <c r="E526" s="13"/>
      <c r="F526" s="13"/>
      <c r="G526" s="36"/>
      <c r="H526" s="36"/>
      <c r="I526" s="36"/>
      <c r="J526" s="36"/>
      <c r="K526" s="36"/>
      <c r="L526" s="36"/>
      <c r="M526" s="36"/>
      <c r="N526" s="13"/>
      <c r="O526" s="202"/>
      <c r="P526" s="36"/>
      <c r="Q526" s="52"/>
      <c r="R526" s="52"/>
      <c r="S526" s="52"/>
      <c r="U526" s="202"/>
      <c r="V526" s="202"/>
      <c r="W526" s="202"/>
      <c r="X526" s="202"/>
      <c r="Y526" s="13"/>
      <c r="Z526" s="36"/>
      <c r="AA526" s="13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289"/>
      <c r="AO526" s="289"/>
      <c r="AP526" s="289"/>
      <c r="AQ526" s="36"/>
      <c r="AR526" s="283"/>
      <c r="AS526" s="13"/>
      <c r="AT526" s="13"/>
      <c r="AU526" s="32"/>
      <c r="AV526" s="277"/>
      <c r="AW526" s="277"/>
      <c r="AX526" s="277"/>
      <c r="AY526" s="280"/>
      <c r="AZ526" s="268"/>
      <c r="BA526" s="268"/>
      <c r="BB526" s="13"/>
      <c r="BC526" s="36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</row>
    <row r="527" spans="1:73">
      <c r="A527" s="13"/>
      <c r="B527" s="13"/>
      <c r="C527" s="13"/>
      <c r="D527" s="13"/>
      <c r="E527" s="13"/>
      <c r="F527" s="13"/>
      <c r="G527" s="36"/>
      <c r="H527" s="36"/>
      <c r="I527" s="36"/>
      <c r="J527" s="36"/>
      <c r="K527" s="36"/>
      <c r="L527" s="36"/>
      <c r="M527" s="36"/>
      <c r="N527" s="13"/>
      <c r="O527" s="202"/>
      <c r="P527" s="36"/>
      <c r="Q527" s="52"/>
      <c r="R527" s="52"/>
      <c r="S527" s="52"/>
      <c r="U527" s="202"/>
      <c r="V527" s="202"/>
      <c r="W527" s="202"/>
      <c r="X527" s="202"/>
      <c r="Y527" s="13"/>
      <c r="Z527" s="36"/>
      <c r="AA527" s="13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289"/>
      <c r="AO527" s="289"/>
      <c r="AP527" s="289"/>
      <c r="AQ527" s="36"/>
      <c r="AR527" s="283"/>
      <c r="AS527" s="13"/>
      <c r="AT527" s="13"/>
      <c r="AU527" s="32"/>
      <c r="AV527" s="277"/>
      <c r="AW527" s="277"/>
      <c r="AX527" s="277"/>
      <c r="AY527" s="280"/>
      <c r="AZ527" s="268"/>
      <c r="BA527" s="268"/>
      <c r="BB527" s="13"/>
      <c r="BC527" s="36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</row>
    <row r="528" spans="1:73">
      <c r="A528" s="13"/>
      <c r="B528" s="13"/>
      <c r="C528" s="13"/>
      <c r="D528" s="13"/>
      <c r="E528" s="13"/>
      <c r="F528" s="13"/>
      <c r="G528" s="36"/>
      <c r="H528" s="36"/>
      <c r="I528" s="36"/>
      <c r="J528" s="36"/>
      <c r="K528" s="36"/>
      <c r="L528" s="36"/>
      <c r="M528" s="36"/>
      <c r="N528" s="13"/>
      <c r="O528" s="202"/>
      <c r="P528" s="36"/>
      <c r="Q528" s="52"/>
      <c r="R528" s="52"/>
      <c r="S528" s="52"/>
      <c r="U528" s="202"/>
      <c r="V528" s="202"/>
      <c r="W528" s="202"/>
      <c r="X528" s="202"/>
      <c r="Y528" s="13"/>
      <c r="Z528" s="36"/>
      <c r="AA528" s="13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289"/>
      <c r="AO528" s="289"/>
      <c r="AP528" s="289"/>
      <c r="AQ528" s="36"/>
      <c r="AR528" s="283"/>
      <c r="AS528" s="13"/>
      <c r="AT528" s="13"/>
      <c r="AU528" s="32"/>
      <c r="AV528" s="277"/>
      <c r="AW528" s="277"/>
      <c r="AX528" s="277"/>
      <c r="AY528" s="280"/>
      <c r="AZ528" s="268"/>
      <c r="BA528" s="268"/>
      <c r="BB528" s="13"/>
      <c r="BC528" s="36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</row>
    <row r="529" spans="1:73">
      <c r="A529" s="13"/>
      <c r="B529" s="13"/>
      <c r="C529" s="13"/>
      <c r="D529" s="13"/>
      <c r="E529" s="13"/>
      <c r="F529" s="13"/>
      <c r="G529" s="36"/>
      <c r="H529" s="36"/>
      <c r="I529" s="36"/>
      <c r="J529" s="36"/>
      <c r="K529" s="36"/>
      <c r="L529" s="36"/>
      <c r="M529" s="36"/>
      <c r="N529" s="13"/>
      <c r="O529" s="202"/>
      <c r="P529" s="36"/>
      <c r="Q529" s="52"/>
      <c r="R529" s="52"/>
      <c r="S529" s="52"/>
      <c r="U529" s="202"/>
      <c r="V529" s="202"/>
      <c r="W529" s="202"/>
      <c r="X529" s="202"/>
      <c r="Y529" s="13"/>
      <c r="Z529" s="36"/>
      <c r="AA529" s="13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289"/>
      <c r="AO529" s="289"/>
      <c r="AP529" s="289"/>
      <c r="AQ529" s="36"/>
      <c r="AR529" s="283"/>
      <c r="AS529" s="13"/>
      <c r="AT529" s="13"/>
      <c r="AU529" s="32"/>
      <c r="AV529" s="277"/>
      <c r="AW529" s="277"/>
      <c r="AX529" s="277"/>
      <c r="AY529" s="280"/>
      <c r="AZ529" s="268"/>
      <c r="BA529" s="268"/>
      <c r="BB529" s="13"/>
      <c r="BC529" s="36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</row>
    <row r="530" spans="1:73">
      <c r="A530" s="13"/>
      <c r="B530" s="13"/>
      <c r="C530" s="13"/>
      <c r="D530" s="13"/>
      <c r="E530" s="13"/>
      <c r="F530" s="13"/>
      <c r="G530" s="36"/>
      <c r="H530" s="36"/>
      <c r="I530" s="36"/>
      <c r="J530" s="36"/>
      <c r="K530" s="36"/>
      <c r="L530" s="36"/>
      <c r="M530" s="36"/>
      <c r="N530" s="13"/>
      <c r="O530" s="202"/>
      <c r="P530" s="36"/>
      <c r="Q530" s="52"/>
      <c r="R530" s="52"/>
      <c r="S530" s="52"/>
      <c r="U530" s="202"/>
      <c r="V530" s="202"/>
      <c r="W530" s="202"/>
      <c r="X530" s="202"/>
      <c r="Y530" s="13"/>
      <c r="Z530" s="36"/>
      <c r="AA530" s="13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289"/>
      <c r="AO530" s="289"/>
      <c r="AP530" s="289"/>
      <c r="AQ530" s="36"/>
      <c r="AR530" s="283"/>
      <c r="AS530" s="13"/>
      <c r="AT530" s="13"/>
      <c r="AU530" s="32"/>
      <c r="AV530" s="277"/>
      <c r="AW530" s="277"/>
      <c r="AX530" s="277"/>
      <c r="AY530" s="280"/>
      <c r="AZ530" s="268"/>
      <c r="BA530" s="268"/>
      <c r="BB530" s="13"/>
      <c r="BC530" s="36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</row>
    <row r="531" spans="1:73">
      <c r="A531" s="13"/>
      <c r="B531" s="13"/>
      <c r="C531" s="13"/>
      <c r="D531" s="13"/>
      <c r="E531" s="13"/>
      <c r="F531" s="13"/>
      <c r="G531" s="36"/>
      <c r="H531" s="36"/>
      <c r="I531" s="36"/>
      <c r="J531" s="36"/>
      <c r="K531" s="36"/>
      <c r="L531" s="36"/>
      <c r="M531" s="36"/>
      <c r="N531" s="13"/>
      <c r="O531" s="202"/>
      <c r="P531" s="36"/>
      <c r="Q531" s="52"/>
      <c r="R531" s="52"/>
      <c r="S531" s="52"/>
      <c r="U531" s="202"/>
      <c r="V531" s="202"/>
      <c r="W531" s="202"/>
      <c r="X531" s="202"/>
      <c r="Y531" s="13"/>
      <c r="Z531" s="36"/>
      <c r="AA531" s="13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289"/>
      <c r="AO531" s="289"/>
      <c r="AP531" s="289"/>
      <c r="AQ531" s="36"/>
      <c r="AR531" s="283"/>
      <c r="AS531" s="13"/>
      <c r="AT531" s="13"/>
      <c r="AU531" s="32"/>
      <c r="AV531" s="277"/>
      <c r="AW531" s="277"/>
      <c r="AX531" s="277"/>
      <c r="AY531" s="280"/>
      <c r="AZ531" s="268"/>
      <c r="BA531" s="268"/>
      <c r="BB531" s="13"/>
      <c r="BC531" s="36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</row>
    <row r="532" spans="1:73">
      <c r="A532" s="13"/>
      <c r="B532" s="13"/>
      <c r="C532" s="13"/>
      <c r="D532" s="13"/>
      <c r="E532" s="13"/>
      <c r="F532" s="13"/>
      <c r="G532" s="36"/>
      <c r="H532" s="36"/>
      <c r="I532" s="36"/>
      <c r="J532" s="36"/>
      <c r="K532" s="36"/>
      <c r="L532" s="36"/>
      <c r="M532" s="36"/>
      <c r="N532" s="13"/>
      <c r="O532" s="202"/>
      <c r="P532" s="36"/>
      <c r="Q532" s="52"/>
      <c r="R532" s="52"/>
      <c r="S532" s="52"/>
      <c r="U532" s="202"/>
      <c r="V532" s="202"/>
      <c r="W532" s="202"/>
      <c r="X532" s="202"/>
      <c r="Y532" s="13"/>
      <c r="Z532" s="36"/>
      <c r="AA532" s="13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289"/>
      <c r="AO532" s="289"/>
      <c r="AP532" s="289"/>
      <c r="AQ532" s="36"/>
      <c r="AR532" s="283"/>
      <c r="AS532" s="13"/>
      <c r="AT532" s="13"/>
      <c r="AU532" s="32"/>
      <c r="AV532" s="277"/>
      <c r="AW532" s="277"/>
      <c r="AX532" s="277"/>
      <c r="AY532" s="280"/>
      <c r="AZ532" s="268"/>
      <c r="BA532" s="268"/>
      <c r="BB532" s="13"/>
      <c r="BC532" s="36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</row>
    <row r="533" spans="1:73">
      <c r="A533" s="13"/>
      <c r="B533" s="13"/>
      <c r="C533" s="13"/>
      <c r="D533" s="13"/>
      <c r="E533" s="13"/>
      <c r="F533" s="13"/>
      <c r="G533" s="36"/>
      <c r="H533" s="36"/>
      <c r="I533" s="36"/>
      <c r="J533" s="36"/>
      <c r="K533" s="36"/>
      <c r="L533" s="36"/>
      <c r="M533" s="36"/>
      <c r="N533" s="13"/>
      <c r="O533" s="202"/>
      <c r="P533" s="36"/>
      <c r="Q533" s="52"/>
      <c r="R533" s="52"/>
      <c r="S533" s="52"/>
      <c r="U533" s="202"/>
      <c r="V533" s="202"/>
      <c r="W533" s="202"/>
      <c r="X533" s="202"/>
      <c r="Y533" s="13"/>
      <c r="Z533" s="36"/>
      <c r="AA533" s="13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289"/>
      <c r="AO533" s="289"/>
      <c r="AP533" s="289"/>
      <c r="AQ533" s="36"/>
      <c r="AR533" s="283"/>
      <c r="AS533" s="13"/>
      <c r="AT533" s="13"/>
      <c r="AU533" s="32"/>
      <c r="AV533" s="277"/>
      <c r="AW533" s="277"/>
      <c r="AX533" s="277"/>
      <c r="AY533" s="280"/>
      <c r="AZ533" s="268"/>
      <c r="BA533" s="268"/>
      <c r="BB533" s="13"/>
      <c r="BC533" s="36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</row>
    <row r="534" spans="1:73">
      <c r="A534" s="13"/>
      <c r="B534" s="13"/>
      <c r="C534" s="13"/>
      <c r="D534" s="13"/>
      <c r="E534" s="13"/>
      <c r="F534" s="13"/>
      <c r="G534" s="36"/>
      <c r="H534" s="36"/>
      <c r="I534" s="36"/>
      <c r="J534" s="36"/>
      <c r="K534" s="36"/>
      <c r="L534" s="36"/>
      <c r="M534" s="36"/>
      <c r="N534" s="13"/>
      <c r="O534" s="202"/>
      <c r="P534" s="36"/>
      <c r="Q534" s="52"/>
      <c r="R534" s="52"/>
      <c r="S534" s="52"/>
      <c r="U534" s="202"/>
      <c r="V534" s="202"/>
      <c r="W534" s="202"/>
      <c r="X534" s="202"/>
      <c r="Y534" s="13"/>
      <c r="Z534" s="36"/>
      <c r="AA534" s="13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289"/>
      <c r="AO534" s="289"/>
      <c r="AP534" s="289"/>
      <c r="AQ534" s="36"/>
      <c r="AR534" s="283"/>
      <c r="AS534" s="13"/>
      <c r="AT534" s="13"/>
      <c r="AU534" s="32"/>
      <c r="AV534" s="277"/>
      <c r="AW534" s="277"/>
      <c r="AX534" s="277"/>
      <c r="AY534" s="280"/>
      <c r="AZ534" s="268"/>
      <c r="BA534" s="268"/>
      <c r="BB534" s="13"/>
      <c r="BC534" s="36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</row>
    <row r="535" spans="1:73">
      <c r="A535" s="13"/>
      <c r="B535" s="13"/>
      <c r="C535" s="13"/>
      <c r="D535" s="13"/>
      <c r="E535" s="13"/>
      <c r="F535" s="13"/>
      <c r="G535" s="36"/>
      <c r="H535" s="36"/>
      <c r="I535" s="36"/>
      <c r="J535" s="36"/>
      <c r="K535" s="36"/>
      <c r="L535" s="36"/>
      <c r="M535" s="36"/>
      <c r="N535" s="13"/>
      <c r="O535" s="202"/>
      <c r="P535" s="36"/>
      <c r="Q535" s="52"/>
      <c r="R535" s="52"/>
      <c r="S535" s="52"/>
      <c r="U535" s="202"/>
      <c r="V535" s="202"/>
      <c r="W535" s="202"/>
      <c r="X535" s="202"/>
      <c r="Y535" s="13"/>
      <c r="Z535" s="36"/>
      <c r="AA535" s="13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289"/>
      <c r="AO535" s="289"/>
      <c r="AP535" s="289"/>
      <c r="AQ535" s="36"/>
      <c r="AR535" s="283"/>
      <c r="AS535" s="13"/>
      <c r="AT535" s="13"/>
      <c r="AU535" s="32"/>
      <c r="AV535" s="277"/>
      <c r="AW535" s="277"/>
      <c r="AX535" s="277"/>
      <c r="AY535" s="280"/>
      <c r="AZ535" s="268"/>
      <c r="BA535" s="268"/>
      <c r="BB535" s="13"/>
      <c r="BC535" s="36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</row>
    <row r="536" spans="1:73">
      <c r="A536" s="13"/>
      <c r="B536" s="13"/>
      <c r="C536" s="13"/>
      <c r="D536" s="13"/>
      <c r="E536" s="13"/>
      <c r="F536" s="13"/>
      <c r="G536" s="36"/>
      <c r="H536" s="36"/>
      <c r="I536" s="36"/>
      <c r="J536" s="36"/>
      <c r="K536" s="36"/>
      <c r="L536" s="36"/>
      <c r="M536" s="36"/>
      <c r="N536" s="13"/>
      <c r="O536" s="202"/>
      <c r="P536" s="36"/>
      <c r="Q536" s="52"/>
      <c r="R536" s="52"/>
      <c r="S536" s="52"/>
      <c r="U536" s="202"/>
      <c r="V536" s="202"/>
      <c r="W536" s="202"/>
      <c r="X536" s="202"/>
      <c r="Y536" s="13"/>
      <c r="Z536" s="36"/>
      <c r="AA536" s="13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289"/>
      <c r="AO536" s="289"/>
      <c r="AP536" s="289"/>
      <c r="AQ536" s="36"/>
      <c r="AR536" s="283"/>
      <c r="AS536" s="13"/>
      <c r="AT536" s="13"/>
      <c r="AU536" s="32"/>
      <c r="AV536" s="277"/>
      <c r="AW536" s="277"/>
      <c r="AX536" s="277"/>
      <c r="AY536" s="280"/>
      <c r="AZ536" s="268"/>
      <c r="BA536" s="268"/>
      <c r="BB536" s="13"/>
      <c r="BC536" s="36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</row>
    <row r="537" spans="1:73">
      <c r="A537" s="13"/>
      <c r="B537" s="13"/>
      <c r="C537" s="13"/>
      <c r="D537" s="13"/>
      <c r="E537" s="13"/>
      <c r="F537" s="13"/>
      <c r="G537" s="36"/>
      <c r="H537" s="36"/>
      <c r="I537" s="36"/>
      <c r="J537" s="36"/>
      <c r="K537" s="36"/>
      <c r="L537" s="36"/>
      <c r="M537" s="36"/>
      <c r="N537" s="13"/>
      <c r="O537" s="202"/>
      <c r="P537" s="36"/>
      <c r="Q537" s="52"/>
      <c r="R537" s="52"/>
      <c r="S537" s="52"/>
      <c r="U537" s="202"/>
      <c r="V537" s="202"/>
      <c r="W537" s="202"/>
      <c r="X537" s="202"/>
      <c r="Y537" s="13"/>
      <c r="Z537" s="36"/>
      <c r="AA537" s="13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289"/>
      <c r="AO537" s="289"/>
      <c r="AP537" s="289"/>
      <c r="AQ537" s="36"/>
      <c r="AR537" s="283"/>
      <c r="AS537" s="13"/>
      <c r="AT537" s="13"/>
      <c r="AU537" s="32"/>
      <c r="AV537" s="277"/>
      <c r="AW537" s="277"/>
      <c r="AX537" s="277"/>
      <c r="AY537" s="280"/>
      <c r="AZ537" s="268"/>
      <c r="BA537" s="268"/>
      <c r="BB537" s="13"/>
      <c r="BC537" s="36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</row>
    <row r="538" spans="1:73">
      <c r="A538" s="13"/>
      <c r="B538" s="13"/>
      <c r="C538" s="13"/>
      <c r="D538" s="13"/>
      <c r="E538" s="13"/>
      <c r="F538" s="13"/>
      <c r="G538" s="36"/>
      <c r="H538" s="36"/>
      <c r="I538" s="36"/>
      <c r="J538" s="36"/>
      <c r="K538" s="36"/>
      <c r="L538" s="36"/>
      <c r="M538" s="36"/>
      <c r="N538" s="13"/>
      <c r="O538" s="202"/>
      <c r="P538" s="36"/>
      <c r="Q538" s="52"/>
      <c r="R538" s="52"/>
      <c r="S538" s="52"/>
      <c r="U538" s="202"/>
      <c r="V538" s="202"/>
      <c r="W538" s="202"/>
      <c r="X538" s="202"/>
      <c r="Y538" s="13"/>
      <c r="Z538" s="36"/>
      <c r="AA538" s="13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289"/>
      <c r="AO538" s="289"/>
      <c r="AP538" s="289"/>
      <c r="AQ538" s="36"/>
      <c r="AR538" s="283"/>
      <c r="AS538" s="13"/>
      <c r="AT538" s="13"/>
      <c r="AU538" s="32"/>
      <c r="AV538" s="277"/>
      <c r="AW538" s="277"/>
      <c r="AX538" s="277"/>
      <c r="AY538" s="280"/>
      <c r="AZ538" s="268"/>
      <c r="BA538" s="268"/>
      <c r="BB538" s="13"/>
      <c r="BC538" s="36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</row>
    <row r="539" spans="1:73">
      <c r="A539" s="13"/>
      <c r="B539" s="13"/>
      <c r="C539" s="13"/>
      <c r="D539" s="13"/>
      <c r="E539" s="13"/>
      <c r="F539" s="13"/>
      <c r="G539" s="36"/>
      <c r="H539" s="36"/>
      <c r="I539" s="36"/>
      <c r="J539" s="36"/>
      <c r="K539" s="36"/>
      <c r="L539" s="36"/>
      <c r="M539" s="36"/>
      <c r="N539" s="13"/>
      <c r="O539" s="202"/>
      <c r="P539" s="36"/>
      <c r="Q539" s="52"/>
      <c r="R539" s="52"/>
      <c r="S539" s="52"/>
      <c r="U539" s="202"/>
      <c r="V539" s="202"/>
      <c r="W539" s="202"/>
      <c r="X539" s="202"/>
      <c r="Y539" s="13"/>
      <c r="Z539" s="36"/>
      <c r="AA539" s="13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289"/>
      <c r="AO539" s="289"/>
      <c r="AP539" s="289"/>
      <c r="AQ539" s="36"/>
      <c r="AR539" s="283"/>
      <c r="AS539" s="13"/>
      <c r="AT539" s="13"/>
      <c r="AU539" s="32"/>
      <c r="AV539" s="277"/>
      <c r="AW539" s="277"/>
      <c r="AX539" s="277"/>
      <c r="AY539" s="280"/>
      <c r="AZ539" s="268"/>
      <c r="BA539" s="268"/>
      <c r="BB539" s="13"/>
      <c r="BC539" s="36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</row>
    <row r="540" spans="1:73">
      <c r="A540" s="13"/>
      <c r="B540" s="13"/>
      <c r="C540" s="13"/>
      <c r="D540" s="13"/>
      <c r="E540" s="13"/>
      <c r="F540" s="13"/>
      <c r="G540" s="36"/>
      <c r="H540" s="36"/>
      <c r="I540" s="36"/>
      <c r="J540" s="36"/>
      <c r="K540" s="36"/>
      <c r="L540" s="36"/>
      <c r="M540" s="36"/>
      <c r="N540" s="13"/>
      <c r="O540" s="202"/>
      <c r="P540" s="36"/>
      <c r="Q540" s="52"/>
      <c r="R540" s="52"/>
      <c r="S540" s="52"/>
      <c r="U540" s="202"/>
      <c r="V540" s="202"/>
      <c r="W540" s="202"/>
      <c r="X540" s="202"/>
      <c r="Y540" s="13"/>
      <c r="Z540" s="36"/>
      <c r="AA540" s="13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289"/>
      <c r="AO540" s="289"/>
      <c r="AP540" s="289"/>
      <c r="AQ540" s="36"/>
      <c r="AR540" s="283"/>
      <c r="AS540" s="13"/>
      <c r="AT540" s="13"/>
      <c r="AU540" s="32"/>
      <c r="AV540" s="277"/>
      <c r="AW540" s="277"/>
      <c r="AX540" s="277"/>
      <c r="AY540" s="280"/>
      <c r="AZ540" s="268"/>
      <c r="BA540" s="268"/>
      <c r="BB540" s="13"/>
      <c r="BC540" s="36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</row>
    <row r="541" spans="1:73">
      <c r="A541" s="13"/>
      <c r="B541" s="13"/>
      <c r="C541" s="13"/>
      <c r="D541" s="13"/>
      <c r="E541" s="13"/>
      <c r="F541" s="13"/>
      <c r="G541" s="36"/>
      <c r="H541" s="36"/>
      <c r="I541" s="36"/>
      <c r="J541" s="36"/>
      <c r="K541" s="36"/>
      <c r="L541" s="36"/>
      <c r="M541" s="36"/>
      <c r="N541" s="13"/>
      <c r="O541" s="202"/>
      <c r="P541" s="36"/>
      <c r="Q541" s="52"/>
      <c r="R541" s="52"/>
      <c r="S541" s="52"/>
      <c r="U541" s="202"/>
      <c r="V541" s="202"/>
      <c r="W541" s="202"/>
      <c r="X541" s="202"/>
      <c r="Y541" s="13"/>
      <c r="Z541" s="36"/>
      <c r="AA541" s="13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289"/>
      <c r="AO541" s="289"/>
      <c r="AP541" s="289"/>
      <c r="AQ541" s="36"/>
      <c r="AR541" s="283"/>
      <c r="AS541" s="13"/>
      <c r="AT541" s="13"/>
      <c r="AU541" s="32"/>
      <c r="AV541" s="277"/>
      <c r="AW541" s="277"/>
      <c r="AX541" s="277"/>
      <c r="AY541" s="280"/>
      <c r="AZ541" s="268"/>
      <c r="BA541" s="268"/>
      <c r="BB541" s="13"/>
      <c r="BC541" s="36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</row>
    <row r="542" spans="1:73">
      <c r="A542" s="13"/>
      <c r="B542" s="13"/>
      <c r="C542" s="13"/>
      <c r="D542" s="13"/>
      <c r="E542" s="13"/>
      <c r="F542" s="13"/>
      <c r="G542" s="36"/>
      <c r="H542" s="36"/>
      <c r="I542" s="36"/>
      <c r="J542" s="36"/>
      <c r="K542" s="36"/>
      <c r="L542" s="36"/>
      <c r="M542" s="36"/>
      <c r="N542" s="13"/>
      <c r="O542" s="202"/>
      <c r="P542" s="36"/>
      <c r="Q542" s="52"/>
      <c r="R542" s="52"/>
      <c r="S542" s="52"/>
      <c r="U542" s="202"/>
      <c r="V542" s="202"/>
      <c r="W542" s="202"/>
      <c r="X542" s="202"/>
      <c r="Y542" s="13"/>
      <c r="Z542" s="36"/>
      <c r="AA542" s="13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289"/>
      <c r="AO542" s="289"/>
      <c r="AP542" s="289"/>
      <c r="AQ542" s="36"/>
      <c r="AR542" s="283"/>
      <c r="AS542" s="13"/>
      <c r="AT542" s="13"/>
      <c r="AU542" s="32"/>
      <c r="AV542" s="277"/>
      <c r="AW542" s="277"/>
      <c r="AX542" s="277"/>
      <c r="AY542" s="280"/>
      <c r="AZ542" s="268"/>
      <c r="BA542" s="268"/>
      <c r="BB542" s="13"/>
      <c r="BC542" s="36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</row>
    <row r="543" spans="1:73">
      <c r="A543" s="13"/>
      <c r="B543" s="13"/>
      <c r="C543" s="13"/>
      <c r="D543" s="13"/>
      <c r="E543" s="13"/>
      <c r="F543" s="13"/>
      <c r="G543" s="36"/>
      <c r="H543" s="36"/>
      <c r="I543" s="36"/>
      <c r="J543" s="36"/>
      <c r="K543" s="36"/>
      <c r="L543" s="36"/>
      <c r="M543" s="36"/>
      <c r="N543" s="13"/>
      <c r="O543" s="202"/>
      <c r="P543" s="36"/>
      <c r="Q543" s="52"/>
      <c r="R543" s="52"/>
      <c r="S543" s="52"/>
      <c r="U543" s="202"/>
      <c r="V543" s="202"/>
      <c r="W543" s="202"/>
      <c r="X543" s="202"/>
      <c r="Y543" s="13"/>
      <c r="Z543" s="36"/>
      <c r="AA543" s="13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289"/>
      <c r="AO543" s="289"/>
      <c r="AP543" s="289"/>
      <c r="AQ543" s="36"/>
      <c r="AR543" s="283"/>
      <c r="AS543" s="13"/>
      <c r="AT543" s="13"/>
      <c r="AU543" s="32"/>
      <c r="AV543" s="277"/>
      <c r="AW543" s="277"/>
      <c r="AX543" s="277"/>
      <c r="AY543" s="280"/>
      <c r="AZ543" s="268"/>
      <c r="BA543" s="268"/>
      <c r="BB543" s="13"/>
      <c r="BC543" s="36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</row>
    <row r="544" spans="1:73">
      <c r="A544" s="13"/>
      <c r="B544" s="13"/>
      <c r="C544" s="13"/>
      <c r="D544" s="13"/>
      <c r="E544" s="13"/>
      <c r="F544" s="13"/>
      <c r="G544" s="36"/>
      <c r="H544" s="36"/>
      <c r="I544" s="36"/>
      <c r="J544" s="36"/>
      <c r="K544" s="36"/>
      <c r="L544" s="36"/>
      <c r="M544" s="36"/>
      <c r="N544" s="13"/>
      <c r="O544" s="202"/>
      <c r="P544" s="36"/>
      <c r="Q544" s="52"/>
      <c r="R544" s="52"/>
      <c r="S544" s="52"/>
      <c r="U544" s="202"/>
      <c r="V544" s="202"/>
      <c r="W544" s="202"/>
      <c r="X544" s="202"/>
      <c r="Y544" s="13"/>
      <c r="Z544" s="36"/>
      <c r="AA544" s="13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289"/>
      <c r="AO544" s="289"/>
      <c r="AP544" s="289"/>
      <c r="AQ544" s="36"/>
      <c r="AR544" s="283"/>
      <c r="AS544" s="13"/>
      <c r="AT544" s="13"/>
      <c r="AU544" s="32"/>
      <c r="AV544" s="277"/>
      <c r="AW544" s="277"/>
      <c r="AX544" s="277"/>
      <c r="AY544" s="280"/>
      <c r="AZ544" s="268"/>
      <c r="BA544" s="268"/>
      <c r="BB544" s="13"/>
      <c r="BC544" s="36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</row>
    <row r="545" spans="1:73">
      <c r="A545" s="13"/>
      <c r="B545" s="13"/>
      <c r="C545" s="13"/>
      <c r="D545" s="13"/>
      <c r="E545" s="13"/>
      <c r="F545" s="13"/>
      <c r="G545" s="36"/>
      <c r="H545" s="36"/>
      <c r="I545" s="36"/>
      <c r="J545" s="36"/>
      <c r="K545" s="36"/>
      <c r="L545" s="36"/>
      <c r="M545" s="36"/>
      <c r="N545" s="13"/>
      <c r="O545" s="202"/>
      <c r="P545" s="36"/>
      <c r="Q545" s="52"/>
      <c r="R545" s="52"/>
      <c r="S545" s="52"/>
      <c r="U545" s="202"/>
      <c r="V545" s="202"/>
      <c r="W545" s="202"/>
      <c r="X545" s="202"/>
      <c r="Y545" s="13"/>
      <c r="Z545" s="36"/>
      <c r="AA545" s="13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289"/>
      <c r="AO545" s="289"/>
      <c r="AP545" s="289"/>
      <c r="AQ545" s="36"/>
      <c r="AR545" s="283"/>
      <c r="AS545" s="13"/>
      <c r="AT545" s="13"/>
      <c r="AU545" s="32"/>
      <c r="AV545" s="277"/>
      <c r="AW545" s="277"/>
      <c r="AX545" s="277"/>
      <c r="AY545" s="280"/>
      <c r="AZ545" s="268"/>
      <c r="BA545" s="268"/>
      <c r="BB545" s="13"/>
      <c r="BC545" s="36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</row>
    <row r="546" spans="1:73">
      <c r="A546" s="13"/>
      <c r="B546" s="13"/>
      <c r="C546" s="13"/>
      <c r="D546" s="13"/>
      <c r="E546" s="13"/>
      <c r="F546" s="13"/>
      <c r="G546" s="36"/>
      <c r="H546" s="36"/>
      <c r="I546" s="36"/>
      <c r="J546" s="36"/>
      <c r="K546" s="36"/>
      <c r="L546" s="36"/>
      <c r="M546" s="36"/>
      <c r="N546" s="13"/>
      <c r="O546" s="202"/>
      <c r="P546" s="36"/>
      <c r="Q546" s="52"/>
      <c r="R546" s="52"/>
      <c r="S546" s="52"/>
      <c r="U546" s="202"/>
      <c r="V546" s="202"/>
      <c r="W546" s="202"/>
      <c r="X546" s="202"/>
      <c r="Y546" s="13"/>
      <c r="Z546" s="36"/>
      <c r="AA546" s="13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289"/>
      <c r="AO546" s="289"/>
      <c r="AP546" s="289"/>
      <c r="AQ546" s="36"/>
      <c r="AR546" s="283"/>
      <c r="AS546" s="13"/>
      <c r="AT546" s="13"/>
      <c r="AU546" s="32"/>
      <c r="AV546" s="277"/>
      <c r="AW546" s="277"/>
      <c r="AX546" s="277"/>
      <c r="AY546" s="280"/>
      <c r="AZ546" s="268"/>
      <c r="BA546" s="268"/>
      <c r="BB546" s="13"/>
      <c r="BC546" s="36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</row>
    <row r="547" spans="1:73">
      <c r="A547" s="13"/>
      <c r="B547" s="13"/>
      <c r="C547" s="13"/>
      <c r="D547" s="13"/>
      <c r="E547" s="13"/>
      <c r="F547" s="13"/>
      <c r="G547" s="36"/>
      <c r="H547" s="36"/>
      <c r="I547" s="36"/>
      <c r="J547" s="36"/>
      <c r="K547" s="36"/>
      <c r="L547" s="36"/>
      <c r="M547" s="36"/>
      <c r="N547" s="13"/>
      <c r="O547" s="202"/>
      <c r="P547" s="36"/>
      <c r="Q547" s="52"/>
      <c r="R547" s="52"/>
      <c r="S547" s="52"/>
      <c r="U547" s="202"/>
      <c r="V547" s="202"/>
      <c r="W547" s="202"/>
      <c r="X547" s="202"/>
      <c r="Y547" s="13"/>
      <c r="Z547" s="36"/>
      <c r="AA547" s="13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289"/>
      <c r="AO547" s="289"/>
      <c r="AP547" s="289"/>
      <c r="AQ547" s="36"/>
      <c r="AR547" s="283"/>
      <c r="AS547" s="13"/>
      <c r="AT547" s="13"/>
      <c r="AU547" s="32"/>
      <c r="AV547" s="277"/>
      <c r="AW547" s="277"/>
      <c r="AX547" s="277"/>
      <c r="AY547" s="280"/>
      <c r="AZ547" s="268"/>
      <c r="BA547" s="268"/>
      <c r="BB547" s="13"/>
      <c r="BC547" s="36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</row>
    <row r="548" spans="1:73">
      <c r="A548" s="13"/>
      <c r="B548" s="13"/>
      <c r="C548" s="13"/>
      <c r="D548" s="13"/>
      <c r="E548" s="13"/>
      <c r="F548" s="13"/>
      <c r="G548" s="36"/>
      <c r="H548" s="36"/>
      <c r="I548" s="36"/>
      <c r="J548" s="36"/>
      <c r="K548" s="36"/>
      <c r="L548" s="36"/>
      <c r="M548" s="36"/>
      <c r="N548" s="13"/>
      <c r="O548" s="202"/>
      <c r="P548" s="36"/>
      <c r="Q548" s="52"/>
      <c r="R548" s="52"/>
      <c r="S548" s="52"/>
      <c r="U548" s="202"/>
      <c r="V548" s="202"/>
      <c r="W548" s="202"/>
      <c r="X548" s="202"/>
      <c r="Y548" s="13"/>
      <c r="Z548" s="36"/>
      <c r="AA548" s="13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289"/>
      <c r="AO548" s="289"/>
      <c r="AP548" s="289"/>
      <c r="AQ548" s="36"/>
      <c r="AR548" s="283"/>
      <c r="AS548" s="13"/>
      <c r="AT548" s="13"/>
      <c r="AU548" s="32"/>
      <c r="AV548" s="277"/>
      <c r="AW548" s="277"/>
      <c r="AX548" s="277"/>
      <c r="AY548" s="280"/>
      <c r="AZ548" s="268"/>
      <c r="BA548" s="268"/>
      <c r="BB548" s="13"/>
      <c r="BC548" s="36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</row>
    <row r="549" spans="1:73">
      <c r="A549" s="13"/>
      <c r="B549" s="13"/>
      <c r="C549" s="13"/>
      <c r="D549" s="13"/>
      <c r="E549" s="13"/>
      <c r="F549" s="13"/>
      <c r="G549" s="36"/>
      <c r="H549" s="36"/>
      <c r="I549" s="36"/>
      <c r="J549" s="36"/>
      <c r="K549" s="36"/>
      <c r="L549" s="36"/>
      <c r="M549" s="36"/>
      <c r="N549" s="13"/>
      <c r="O549" s="202"/>
      <c r="P549" s="36"/>
      <c r="Q549" s="52"/>
      <c r="R549" s="52"/>
      <c r="S549" s="52"/>
      <c r="U549" s="202"/>
      <c r="V549" s="202"/>
      <c r="W549" s="202"/>
      <c r="X549" s="202"/>
      <c r="Y549" s="13"/>
      <c r="Z549" s="36"/>
      <c r="AA549" s="13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289"/>
      <c r="AO549" s="289"/>
      <c r="AP549" s="289"/>
      <c r="AQ549" s="36"/>
      <c r="AR549" s="283"/>
      <c r="AS549" s="13"/>
      <c r="AT549" s="13"/>
      <c r="AU549" s="32"/>
      <c r="AV549" s="277"/>
      <c r="AW549" s="277"/>
      <c r="AX549" s="277"/>
      <c r="AY549" s="280"/>
      <c r="AZ549" s="268"/>
      <c r="BA549" s="268"/>
      <c r="BB549" s="13"/>
      <c r="BC549" s="36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</row>
    <row r="550" spans="1:73">
      <c r="A550" s="13"/>
      <c r="B550" s="13"/>
      <c r="C550" s="13"/>
      <c r="D550" s="13"/>
      <c r="E550" s="13"/>
      <c r="F550" s="13"/>
      <c r="G550" s="36"/>
      <c r="H550" s="36"/>
      <c r="I550" s="36"/>
      <c r="J550" s="36"/>
      <c r="K550" s="36"/>
      <c r="L550" s="36"/>
      <c r="M550" s="36"/>
      <c r="N550" s="13"/>
      <c r="O550" s="202"/>
      <c r="P550" s="36"/>
      <c r="Q550" s="52"/>
      <c r="R550" s="52"/>
      <c r="S550" s="52"/>
      <c r="U550" s="202"/>
      <c r="V550" s="202"/>
      <c r="W550" s="202"/>
      <c r="X550" s="202"/>
      <c r="Y550" s="13"/>
      <c r="Z550" s="36"/>
      <c r="AA550" s="13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289"/>
      <c r="AO550" s="289"/>
      <c r="AP550" s="289"/>
      <c r="AQ550" s="36"/>
      <c r="AR550" s="283"/>
      <c r="AS550" s="13"/>
      <c r="AT550" s="13"/>
      <c r="AU550" s="32"/>
      <c r="AV550" s="277"/>
      <c r="AW550" s="277"/>
      <c r="AX550" s="277"/>
      <c r="AY550" s="280"/>
      <c r="AZ550" s="268"/>
      <c r="BA550" s="268"/>
      <c r="BB550" s="13"/>
      <c r="BC550" s="36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</row>
    <row r="551" spans="1:73">
      <c r="A551" s="13"/>
      <c r="B551" s="13"/>
      <c r="C551" s="13"/>
      <c r="D551" s="13"/>
      <c r="E551" s="13"/>
      <c r="F551" s="13"/>
      <c r="G551" s="36"/>
      <c r="H551" s="36"/>
      <c r="I551" s="36"/>
      <c r="J551" s="36"/>
      <c r="K551" s="36"/>
      <c r="L551" s="36"/>
      <c r="M551" s="36"/>
      <c r="N551" s="13"/>
      <c r="O551" s="202"/>
      <c r="P551" s="36"/>
      <c r="Q551" s="52"/>
      <c r="R551" s="52"/>
      <c r="S551" s="52"/>
      <c r="U551" s="202"/>
      <c r="V551" s="202"/>
      <c r="W551" s="202"/>
      <c r="X551" s="202"/>
      <c r="Y551" s="13"/>
      <c r="Z551" s="36"/>
      <c r="AA551" s="13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289"/>
      <c r="AO551" s="289"/>
      <c r="AP551" s="289"/>
      <c r="AQ551" s="36"/>
      <c r="AR551" s="283"/>
      <c r="AS551" s="13"/>
      <c r="AT551" s="13"/>
      <c r="AU551" s="32"/>
      <c r="AV551" s="277"/>
      <c r="AW551" s="277"/>
      <c r="AX551" s="277"/>
      <c r="AY551" s="280"/>
      <c r="AZ551" s="268"/>
      <c r="BA551" s="268"/>
      <c r="BB551" s="13"/>
      <c r="BC551" s="36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</row>
    <row r="552" spans="1:73">
      <c r="A552" s="13"/>
      <c r="B552" s="13"/>
      <c r="C552" s="13"/>
      <c r="D552" s="13"/>
      <c r="E552" s="13"/>
      <c r="F552" s="13"/>
      <c r="G552" s="36"/>
      <c r="H552" s="36"/>
      <c r="I552" s="36"/>
      <c r="J552" s="36"/>
      <c r="K552" s="36"/>
      <c r="L552" s="36"/>
      <c r="M552" s="36"/>
      <c r="N552" s="13"/>
      <c r="O552" s="202"/>
      <c r="P552" s="36"/>
      <c r="Q552" s="52"/>
      <c r="R552" s="52"/>
      <c r="S552" s="52"/>
      <c r="U552" s="202"/>
      <c r="V552" s="202"/>
      <c r="W552" s="202"/>
      <c r="X552" s="202"/>
      <c r="Y552" s="13"/>
      <c r="Z552" s="36"/>
      <c r="AA552" s="13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289"/>
      <c r="AO552" s="289"/>
      <c r="AP552" s="289"/>
      <c r="AQ552" s="36"/>
      <c r="AR552" s="283"/>
      <c r="AS552" s="13"/>
      <c r="AT552" s="13"/>
      <c r="AU552" s="32"/>
      <c r="AV552" s="277"/>
      <c r="AW552" s="277"/>
      <c r="AX552" s="277"/>
      <c r="AY552" s="280"/>
      <c r="AZ552" s="268"/>
      <c r="BA552" s="268"/>
      <c r="BB552" s="13"/>
      <c r="BC552" s="36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</row>
    <row r="553" spans="1:73">
      <c r="A553" s="13"/>
      <c r="B553" s="13"/>
      <c r="C553" s="13"/>
      <c r="D553" s="13"/>
      <c r="E553" s="13"/>
      <c r="F553" s="13"/>
      <c r="G553" s="36"/>
      <c r="H553" s="36"/>
      <c r="I553" s="36"/>
      <c r="J553" s="36"/>
      <c r="K553" s="36"/>
      <c r="L553" s="36"/>
      <c r="M553" s="36"/>
      <c r="N553" s="13"/>
      <c r="O553" s="202"/>
      <c r="P553" s="36"/>
      <c r="Q553" s="52"/>
      <c r="R553" s="52"/>
      <c r="S553" s="52"/>
      <c r="U553" s="202"/>
      <c r="V553" s="202"/>
      <c r="W553" s="202"/>
      <c r="X553" s="202"/>
      <c r="Y553" s="13"/>
      <c r="Z553" s="36"/>
      <c r="AA553" s="13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289"/>
      <c r="AO553" s="289"/>
      <c r="AP553" s="289"/>
      <c r="AQ553" s="36"/>
      <c r="AR553" s="283"/>
      <c r="AS553" s="13"/>
      <c r="AT553" s="13"/>
      <c r="AU553" s="32"/>
      <c r="AV553" s="277"/>
      <c r="AW553" s="277"/>
      <c r="AX553" s="277"/>
      <c r="AY553" s="280"/>
      <c r="AZ553" s="268"/>
      <c r="BA553" s="268"/>
      <c r="BB553" s="13"/>
      <c r="BC553" s="36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</row>
    <row r="554" spans="1:73">
      <c r="A554" s="13"/>
      <c r="B554" s="13"/>
      <c r="C554" s="13"/>
      <c r="D554" s="13"/>
      <c r="E554" s="13"/>
      <c r="F554" s="13"/>
      <c r="G554" s="36"/>
      <c r="H554" s="36"/>
      <c r="I554" s="36"/>
      <c r="J554" s="36"/>
      <c r="K554" s="36"/>
      <c r="L554" s="36"/>
      <c r="M554" s="36"/>
      <c r="N554" s="13"/>
      <c r="O554" s="202"/>
      <c r="P554" s="36"/>
      <c r="Q554" s="52"/>
      <c r="R554" s="52"/>
      <c r="S554" s="52"/>
      <c r="U554" s="202"/>
      <c r="V554" s="202"/>
      <c r="W554" s="202"/>
      <c r="X554" s="202"/>
      <c r="Y554" s="13"/>
      <c r="Z554" s="36"/>
      <c r="AA554" s="13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289"/>
      <c r="AO554" s="289"/>
      <c r="AP554" s="289"/>
      <c r="AQ554" s="36"/>
      <c r="AR554" s="283"/>
      <c r="AS554" s="13"/>
      <c r="AT554" s="13"/>
      <c r="AU554" s="32"/>
      <c r="AV554" s="277"/>
      <c r="AW554" s="277"/>
      <c r="AX554" s="277"/>
      <c r="AY554" s="280"/>
      <c r="AZ554" s="268"/>
      <c r="BA554" s="268"/>
      <c r="BB554" s="13"/>
      <c r="BC554" s="36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</row>
    <row r="555" spans="1:73">
      <c r="A555" s="13"/>
      <c r="B555" s="13"/>
      <c r="C555" s="13"/>
      <c r="D555" s="13"/>
      <c r="E555" s="13"/>
      <c r="F555" s="13"/>
      <c r="G555" s="36"/>
      <c r="H555" s="36"/>
      <c r="I555" s="36"/>
      <c r="J555" s="36"/>
      <c r="K555" s="36"/>
      <c r="L555" s="36"/>
      <c r="M555" s="36"/>
      <c r="N555" s="13"/>
      <c r="O555" s="202"/>
      <c r="P555" s="36"/>
      <c r="Q555" s="52"/>
      <c r="R555" s="52"/>
      <c r="S555" s="52"/>
      <c r="U555" s="202"/>
      <c r="V555" s="202"/>
      <c r="W555" s="202"/>
      <c r="X555" s="202"/>
      <c r="Y555" s="13"/>
      <c r="Z555" s="36"/>
      <c r="AA555" s="13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289"/>
      <c r="AO555" s="289"/>
      <c r="AP555" s="289"/>
      <c r="AQ555" s="36"/>
      <c r="AR555" s="283"/>
      <c r="AS555" s="13"/>
      <c r="AT555" s="13"/>
      <c r="AU555" s="32"/>
      <c r="AV555" s="277"/>
      <c r="AW555" s="277"/>
      <c r="AX555" s="277"/>
      <c r="AY555" s="280"/>
      <c r="AZ555" s="268"/>
      <c r="BA555" s="268"/>
      <c r="BB555" s="13"/>
      <c r="BC555" s="36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</row>
    <row r="556" spans="1:73">
      <c r="A556" s="13"/>
      <c r="B556" s="13"/>
      <c r="C556" s="13"/>
      <c r="D556" s="13"/>
      <c r="E556" s="13"/>
      <c r="F556" s="13"/>
      <c r="G556" s="36"/>
      <c r="H556" s="36"/>
      <c r="I556" s="36"/>
      <c r="J556" s="36"/>
      <c r="K556" s="36"/>
      <c r="L556" s="36"/>
      <c r="M556" s="36"/>
      <c r="N556" s="13"/>
      <c r="O556" s="202"/>
      <c r="P556" s="36"/>
      <c r="Q556" s="52"/>
      <c r="R556" s="52"/>
      <c r="S556" s="52"/>
      <c r="U556" s="202"/>
      <c r="V556" s="202"/>
      <c r="W556" s="202"/>
      <c r="X556" s="202"/>
      <c r="Y556" s="13"/>
      <c r="Z556" s="36"/>
      <c r="AA556" s="13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289"/>
      <c r="AO556" s="289"/>
      <c r="AP556" s="289"/>
      <c r="AQ556" s="36"/>
      <c r="AR556" s="283"/>
      <c r="AS556" s="13"/>
      <c r="AT556" s="13"/>
      <c r="AU556" s="32"/>
      <c r="AV556" s="277"/>
      <c r="AW556" s="277"/>
      <c r="AX556" s="277"/>
      <c r="AY556" s="280"/>
      <c r="AZ556" s="268"/>
      <c r="BA556" s="268"/>
      <c r="BB556" s="13"/>
      <c r="BC556" s="36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</row>
    <row r="557" spans="1:73">
      <c r="A557" s="13"/>
      <c r="B557" s="13"/>
      <c r="C557" s="13"/>
      <c r="D557" s="13"/>
      <c r="E557" s="13"/>
      <c r="F557" s="13"/>
      <c r="G557" s="36"/>
      <c r="H557" s="36"/>
      <c r="I557" s="36"/>
      <c r="J557" s="36"/>
      <c r="K557" s="36"/>
      <c r="L557" s="36"/>
      <c r="M557" s="36"/>
      <c r="N557" s="13"/>
      <c r="O557" s="202"/>
      <c r="P557" s="36"/>
      <c r="Q557" s="52"/>
      <c r="R557" s="52"/>
      <c r="S557" s="52"/>
      <c r="U557" s="202"/>
      <c r="V557" s="202"/>
      <c r="W557" s="202"/>
      <c r="X557" s="202"/>
      <c r="Y557" s="13"/>
      <c r="Z557" s="36"/>
      <c r="AA557" s="13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289"/>
      <c r="AO557" s="289"/>
      <c r="AP557" s="289"/>
      <c r="AQ557" s="36"/>
      <c r="AR557" s="283"/>
      <c r="AS557" s="13"/>
      <c r="AT557" s="13"/>
      <c r="AU557" s="32"/>
      <c r="AV557" s="277"/>
      <c r="AW557" s="277"/>
      <c r="AX557" s="277"/>
      <c r="AY557" s="280"/>
      <c r="AZ557" s="268"/>
      <c r="BA557" s="268"/>
      <c r="BB557" s="13"/>
      <c r="BC557" s="36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</row>
    <row r="558" spans="1:73">
      <c r="A558" s="13"/>
      <c r="B558" s="13"/>
      <c r="C558" s="13"/>
      <c r="D558" s="13"/>
      <c r="E558" s="13"/>
      <c r="F558" s="13"/>
      <c r="G558" s="36"/>
      <c r="H558" s="36"/>
      <c r="I558" s="36"/>
      <c r="J558" s="36"/>
      <c r="K558" s="36"/>
      <c r="L558" s="36"/>
      <c r="M558" s="36"/>
      <c r="N558" s="13"/>
      <c r="O558" s="202"/>
      <c r="P558" s="36"/>
      <c r="Q558" s="52"/>
      <c r="R558" s="52"/>
      <c r="S558" s="52"/>
      <c r="U558" s="202"/>
      <c r="V558" s="202"/>
      <c r="W558" s="202"/>
      <c r="X558" s="202"/>
      <c r="Y558" s="13"/>
      <c r="Z558" s="36"/>
      <c r="AA558" s="13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289"/>
      <c r="AO558" s="289"/>
      <c r="AP558" s="289"/>
      <c r="AQ558" s="36"/>
      <c r="AR558" s="283"/>
      <c r="AS558" s="13"/>
      <c r="AT558" s="13"/>
      <c r="AU558" s="32"/>
      <c r="AV558" s="277"/>
      <c r="AW558" s="277"/>
      <c r="AX558" s="277"/>
      <c r="AY558" s="280"/>
      <c r="AZ558" s="268"/>
      <c r="BA558" s="268"/>
      <c r="BB558" s="13"/>
      <c r="BC558" s="36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</row>
    <row r="559" spans="1:73">
      <c r="A559" s="13"/>
      <c r="B559" s="13"/>
      <c r="C559" s="13"/>
      <c r="D559" s="13"/>
      <c r="E559" s="13"/>
      <c r="F559" s="13"/>
      <c r="G559" s="36"/>
      <c r="H559" s="36"/>
      <c r="I559" s="36"/>
      <c r="J559" s="36"/>
      <c r="K559" s="36"/>
      <c r="L559" s="36"/>
      <c r="M559" s="36"/>
      <c r="N559" s="13"/>
      <c r="O559" s="202"/>
      <c r="P559" s="36"/>
      <c r="Q559" s="52"/>
      <c r="R559" s="52"/>
      <c r="S559" s="52"/>
      <c r="U559" s="202"/>
      <c r="V559" s="202"/>
      <c r="W559" s="202"/>
      <c r="X559" s="202"/>
      <c r="Y559" s="13"/>
      <c r="Z559" s="36"/>
      <c r="AA559" s="13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289"/>
      <c r="AO559" s="289"/>
      <c r="AP559" s="289"/>
      <c r="AQ559" s="36"/>
      <c r="AR559" s="283"/>
      <c r="AS559" s="13"/>
      <c r="AT559" s="13"/>
      <c r="AU559" s="32"/>
      <c r="AV559" s="277"/>
      <c r="AW559" s="277"/>
      <c r="AX559" s="277"/>
      <c r="AY559" s="280"/>
      <c r="AZ559" s="268"/>
      <c r="BA559" s="268"/>
      <c r="BB559" s="13"/>
      <c r="BC559" s="36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</row>
    <row r="560" spans="1:73">
      <c r="A560" s="13"/>
      <c r="B560" s="13"/>
      <c r="C560" s="13"/>
      <c r="D560" s="13"/>
      <c r="E560" s="13"/>
      <c r="F560" s="13"/>
      <c r="G560" s="36"/>
      <c r="H560" s="36"/>
      <c r="I560" s="36"/>
      <c r="J560" s="36"/>
      <c r="K560" s="36"/>
      <c r="L560" s="36"/>
      <c r="M560" s="36"/>
      <c r="N560" s="13"/>
      <c r="O560" s="202"/>
      <c r="P560" s="36"/>
      <c r="Q560" s="52"/>
      <c r="R560" s="52"/>
      <c r="S560" s="52"/>
      <c r="U560" s="202"/>
      <c r="V560" s="202"/>
      <c r="W560" s="202"/>
      <c r="X560" s="202"/>
      <c r="Y560" s="13"/>
      <c r="Z560" s="36"/>
      <c r="AA560" s="13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289"/>
      <c r="AO560" s="289"/>
      <c r="AP560" s="289"/>
      <c r="AQ560" s="36"/>
      <c r="AR560" s="283"/>
      <c r="AS560" s="13"/>
      <c r="AT560" s="13"/>
      <c r="AU560" s="32"/>
      <c r="AV560" s="277"/>
      <c r="AW560" s="277"/>
      <c r="AX560" s="277"/>
      <c r="AY560" s="280"/>
      <c r="AZ560" s="268"/>
      <c r="BA560" s="268"/>
      <c r="BB560" s="13"/>
      <c r="BC560" s="36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</row>
    <row r="561" spans="1:73">
      <c r="A561" s="13"/>
      <c r="B561" s="13"/>
      <c r="C561" s="13"/>
      <c r="D561" s="13"/>
      <c r="E561" s="13"/>
      <c r="F561" s="13"/>
      <c r="G561" s="36"/>
      <c r="H561" s="36"/>
      <c r="I561" s="36"/>
      <c r="J561" s="36"/>
      <c r="K561" s="36"/>
      <c r="L561" s="36"/>
      <c r="M561" s="36"/>
      <c r="N561" s="13"/>
      <c r="O561" s="202"/>
      <c r="P561" s="36"/>
      <c r="Q561" s="52"/>
      <c r="R561" s="52"/>
      <c r="S561" s="52"/>
      <c r="U561" s="202"/>
      <c r="V561" s="202"/>
      <c r="W561" s="202"/>
      <c r="X561" s="202"/>
      <c r="Y561" s="13"/>
      <c r="Z561" s="36"/>
      <c r="AA561" s="13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289"/>
      <c r="AO561" s="289"/>
      <c r="AP561" s="289"/>
      <c r="AQ561" s="36"/>
      <c r="AR561" s="283"/>
      <c r="AS561" s="13"/>
      <c r="AT561" s="13"/>
      <c r="AU561" s="32"/>
      <c r="AV561" s="277"/>
      <c r="AW561" s="277"/>
      <c r="AX561" s="277"/>
      <c r="AY561" s="280"/>
      <c r="AZ561" s="268"/>
      <c r="BA561" s="268"/>
      <c r="BB561" s="13"/>
      <c r="BC561" s="36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</row>
    <row r="562" spans="1:73">
      <c r="A562" s="13"/>
      <c r="B562" s="13"/>
      <c r="C562" s="13"/>
      <c r="D562" s="13"/>
      <c r="E562" s="13"/>
      <c r="F562" s="13"/>
      <c r="G562" s="36"/>
      <c r="H562" s="36"/>
      <c r="I562" s="36"/>
      <c r="J562" s="36"/>
      <c r="K562" s="36"/>
      <c r="L562" s="36"/>
      <c r="M562" s="36"/>
      <c r="N562" s="13"/>
      <c r="O562" s="202"/>
      <c r="P562" s="36"/>
      <c r="Q562" s="52"/>
      <c r="R562" s="52"/>
      <c r="S562" s="52"/>
      <c r="U562" s="202"/>
      <c r="V562" s="202"/>
      <c r="W562" s="202"/>
      <c r="X562" s="202"/>
      <c r="Y562" s="13"/>
      <c r="Z562" s="36"/>
      <c r="AA562" s="13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289"/>
      <c r="AO562" s="289"/>
      <c r="AP562" s="289"/>
      <c r="AQ562" s="36"/>
      <c r="AR562" s="283"/>
      <c r="AS562" s="13"/>
      <c r="AT562" s="13"/>
      <c r="AU562" s="32"/>
      <c r="AV562" s="277"/>
      <c r="AW562" s="277"/>
      <c r="AX562" s="277"/>
      <c r="AY562" s="280"/>
      <c r="AZ562" s="268"/>
      <c r="BA562" s="268"/>
      <c r="BB562" s="13"/>
      <c r="BC562" s="36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</row>
    <row r="563" spans="1:73">
      <c r="A563" s="13"/>
      <c r="B563" s="13"/>
      <c r="C563" s="13"/>
      <c r="D563" s="13"/>
      <c r="E563" s="13"/>
      <c r="F563" s="13"/>
      <c r="G563" s="36"/>
      <c r="H563" s="36"/>
      <c r="I563" s="36"/>
      <c r="J563" s="36"/>
      <c r="K563" s="36"/>
      <c r="L563" s="36"/>
      <c r="M563" s="36"/>
      <c r="N563" s="13"/>
      <c r="O563" s="202"/>
      <c r="P563" s="36"/>
      <c r="Q563" s="52"/>
      <c r="R563" s="52"/>
      <c r="S563" s="52"/>
      <c r="U563" s="202"/>
      <c r="V563" s="202"/>
      <c r="W563" s="202"/>
      <c r="X563" s="202"/>
      <c r="Y563" s="13"/>
      <c r="Z563" s="36"/>
      <c r="AA563" s="13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289"/>
      <c r="AO563" s="289"/>
      <c r="AP563" s="289"/>
      <c r="AQ563" s="36"/>
      <c r="AR563" s="283"/>
      <c r="AS563" s="13"/>
      <c r="AT563" s="13"/>
      <c r="AU563" s="32"/>
      <c r="AV563" s="277"/>
      <c r="AW563" s="277"/>
      <c r="AX563" s="277"/>
      <c r="AY563" s="280"/>
      <c r="AZ563" s="268"/>
      <c r="BA563" s="268"/>
      <c r="BB563" s="13"/>
      <c r="BC563" s="36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</row>
    <row r="564" spans="1:73">
      <c r="A564" s="13"/>
      <c r="B564" s="13"/>
      <c r="C564" s="13"/>
      <c r="D564" s="13"/>
      <c r="E564" s="13"/>
      <c r="F564" s="13"/>
      <c r="G564" s="36"/>
      <c r="H564" s="36"/>
      <c r="I564" s="36"/>
      <c r="J564" s="36"/>
      <c r="K564" s="36"/>
      <c r="L564" s="36"/>
      <c r="M564" s="36"/>
      <c r="N564" s="13"/>
      <c r="O564" s="202"/>
      <c r="P564" s="36"/>
      <c r="Q564" s="52"/>
      <c r="R564" s="52"/>
      <c r="S564" s="52"/>
      <c r="U564" s="202"/>
      <c r="V564" s="202"/>
      <c r="W564" s="202"/>
      <c r="X564" s="202"/>
      <c r="Y564" s="13"/>
      <c r="Z564" s="36"/>
      <c r="AA564" s="13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289"/>
      <c r="AO564" s="289"/>
      <c r="AP564" s="289"/>
      <c r="AQ564" s="36"/>
      <c r="AR564" s="283"/>
      <c r="AS564" s="13"/>
      <c r="AT564" s="13"/>
      <c r="AU564" s="32"/>
      <c r="AV564" s="277"/>
      <c r="AW564" s="277"/>
      <c r="AX564" s="277"/>
      <c r="AY564" s="280"/>
      <c r="AZ564" s="268"/>
      <c r="BA564" s="268"/>
      <c r="BB564" s="13"/>
      <c r="BC564" s="36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</row>
    <row r="565" spans="1:73">
      <c r="A565" s="13"/>
      <c r="B565" s="13"/>
      <c r="C565" s="13"/>
      <c r="D565" s="13"/>
      <c r="E565" s="13"/>
      <c r="F565" s="13"/>
      <c r="G565" s="36"/>
      <c r="H565" s="36"/>
      <c r="I565" s="36"/>
      <c r="J565" s="36"/>
      <c r="K565" s="36"/>
      <c r="L565" s="36"/>
      <c r="M565" s="36"/>
      <c r="N565" s="13"/>
      <c r="O565" s="202"/>
      <c r="P565" s="36"/>
      <c r="Q565" s="52"/>
      <c r="R565" s="52"/>
      <c r="S565" s="52"/>
      <c r="U565" s="202"/>
      <c r="V565" s="202"/>
      <c r="W565" s="202"/>
      <c r="X565" s="202"/>
      <c r="Y565" s="13"/>
      <c r="Z565" s="36"/>
      <c r="AA565" s="13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289"/>
      <c r="AO565" s="289"/>
      <c r="AP565" s="289"/>
      <c r="AQ565" s="36"/>
      <c r="AR565" s="283"/>
      <c r="AS565" s="13"/>
      <c r="AT565" s="13"/>
      <c r="AU565" s="32"/>
      <c r="AV565" s="277"/>
      <c r="AW565" s="277"/>
      <c r="AX565" s="277"/>
      <c r="AY565" s="280"/>
      <c r="AZ565" s="268"/>
      <c r="BA565" s="268"/>
      <c r="BB565" s="13"/>
      <c r="BC565" s="36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</row>
    <row r="566" spans="1:73">
      <c r="A566" s="13"/>
      <c r="B566" s="13"/>
      <c r="C566" s="13"/>
      <c r="D566" s="13"/>
      <c r="E566" s="13"/>
      <c r="F566" s="13"/>
      <c r="G566" s="36"/>
      <c r="H566" s="36"/>
      <c r="I566" s="36"/>
      <c r="J566" s="36"/>
      <c r="K566" s="36"/>
      <c r="L566" s="36"/>
      <c r="M566" s="36"/>
      <c r="N566" s="13"/>
      <c r="O566" s="202"/>
      <c r="P566" s="36"/>
      <c r="Q566" s="52"/>
      <c r="R566" s="52"/>
      <c r="S566" s="52"/>
      <c r="U566" s="202"/>
      <c r="V566" s="202"/>
      <c r="W566" s="202"/>
      <c r="X566" s="202"/>
      <c r="Y566" s="13"/>
      <c r="Z566" s="36"/>
      <c r="AA566" s="13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289"/>
      <c r="AO566" s="289"/>
      <c r="AP566" s="289"/>
      <c r="AQ566" s="36"/>
      <c r="AR566" s="283"/>
      <c r="AS566" s="13"/>
      <c r="AT566" s="13"/>
      <c r="AU566" s="32"/>
      <c r="AV566" s="277"/>
      <c r="AW566" s="277"/>
      <c r="AX566" s="277"/>
      <c r="AY566" s="280"/>
      <c r="AZ566" s="268"/>
      <c r="BA566" s="268"/>
      <c r="BB566" s="13"/>
      <c r="BC566" s="36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</row>
    <row r="567" spans="1:73">
      <c r="A567" s="13"/>
      <c r="B567" s="13"/>
      <c r="C567" s="13"/>
      <c r="D567" s="13"/>
      <c r="E567" s="13"/>
      <c r="F567" s="13"/>
      <c r="G567" s="36"/>
      <c r="H567" s="36"/>
      <c r="I567" s="36"/>
      <c r="J567" s="36"/>
      <c r="K567" s="36"/>
      <c r="L567" s="36"/>
      <c r="M567" s="36"/>
      <c r="N567" s="13"/>
      <c r="O567" s="202"/>
      <c r="P567" s="36"/>
      <c r="Q567" s="52"/>
      <c r="R567" s="52"/>
      <c r="S567" s="52"/>
      <c r="U567" s="202"/>
      <c r="V567" s="202"/>
      <c r="W567" s="202"/>
      <c r="X567" s="202"/>
      <c r="Y567" s="13"/>
      <c r="Z567" s="36"/>
      <c r="AA567" s="13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289"/>
      <c r="AO567" s="289"/>
      <c r="AP567" s="289"/>
      <c r="AQ567" s="36"/>
      <c r="AR567" s="283"/>
      <c r="AS567" s="13"/>
      <c r="AT567" s="13"/>
      <c r="AU567" s="32"/>
      <c r="AV567" s="277"/>
      <c r="AW567" s="277"/>
      <c r="AX567" s="277"/>
      <c r="AY567" s="280"/>
      <c r="AZ567" s="268"/>
      <c r="BA567" s="268"/>
      <c r="BB567" s="13"/>
      <c r="BC567" s="36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</row>
    <row r="568" spans="1:73">
      <c r="A568" s="13"/>
      <c r="B568" s="13"/>
      <c r="C568" s="13"/>
      <c r="D568" s="13"/>
      <c r="E568" s="13"/>
      <c r="F568" s="13"/>
      <c r="G568" s="36"/>
      <c r="H568" s="36"/>
      <c r="I568" s="36"/>
      <c r="J568" s="36"/>
      <c r="K568" s="36"/>
      <c r="L568" s="36"/>
      <c r="M568" s="36"/>
      <c r="N568" s="13"/>
      <c r="O568" s="202"/>
      <c r="P568" s="36"/>
      <c r="Q568" s="52"/>
      <c r="R568" s="52"/>
      <c r="S568" s="52"/>
      <c r="U568" s="202"/>
      <c r="V568" s="202"/>
      <c r="W568" s="202"/>
      <c r="X568" s="202"/>
      <c r="Y568" s="13"/>
      <c r="Z568" s="36"/>
      <c r="AA568" s="13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289"/>
      <c r="AO568" s="289"/>
      <c r="AP568" s="289"/>
      <c r="AQ568" s="36"/>
      <c r="AR568" s="283"/>
      <c r="AS568" s="13"/>
      <c r="AT568" s="13"/>
      <c r="AU568" s="32"/>
      <c r="AV568" s="277"/>
      <c r="AW568" s="277"/>
      <c r="AX568" s="277"/>
      <c r="AY568" s="280"/>
      <c r="AZ568" s="268"/>
      <c r="BA568" s="268"/>
      <c r="BB568" s="13"/>
      <c r="BC568" s="36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</row>
    <row r="569" spans="1:73">
      <c r="A569" s="13"/>
      <c r="B569" s="13"/>
      <c r="C569" s="13"/>
      <c r="D569" s="13"/>
      <c r="E569" s="13"/>
      <c r="F569" s="13"/>
      <c r="G569" s="36"/>
      <c r="H569" s="36"/>
      <c r="I569" s="36"/>
      <c r="J569" s="36"/>
      <c r="K569" s="36"/>
      <c r="L569" s="36"/>
      <c r="M569" s="36"/>
      <c r="N569" s="13"/>
      <c r="O569" s="202"/>
      <c r="P569" s="36"/>
      <c r="Q569" s="52"/>
      <c r="R569" s="52"/>
      <c r="S569" s="52"/>
      <c r="U569" s="202"/>
      <c r="V569" s="202"/>
      <c r="W569" s="202"/>
      <c r="X569" s="202"/>
      <c r="Y569" s="13"/>
      <c r="Z569" s="36"/>
      <c r="AA569" s="13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289"/>
      <c r="AO569" s="289"/>
      <c r="AP569" s="289"/>
      <c r="AQ569" s="36"/>
      <c r="AR569" s="283"/>
      <c r="AS569" s="13"/>
      <c r="AT569" s="13"/>
      <c r="AU569" s="32"/>
      <c r="AV569" s="277"/>
      <c r="AW569" s="277"/>
      <c r="AX569" s="277"/>
      <c r="AY569" s="280"/>
      <c r="AZ569" s="268"/>
      <c r="BA569" s="268"/>
      <c r="BB569" s="13"/>
      <c r="BC569" s="36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</row>
    <row r="570" spans="1:73">
      <c r="A570" s="13"/>
      <c r="B570" s="13"/>
      <c r="C570" s="13"/>
      <c r="D570" s="13"/>
      <c r="E570" s="13"/>
      <c r="F570" s="13"/>
      <c r="G570" s="36"/>
      <c r="H570" s="36"/>
      <c r="I570" s="36"/>
      <c r="J570" s="36"/>
      <c r="K570" s="36"/>
      <c r="L570" s="36"/>
      <c r="M570" s="36"/>
      <c r="N570" s="13"/>
      <c r="O570" s="202"/>
      <c r="P570" s="36"/>
      <c r="Q570" s="52"/>
      <c r="R570" s="52"/>
      <c r="S570" s="52"/>
      <c r="U570" s="202"/>
      <c r="V570" s="202"/>
      <c r="W570" s="202"/>
      <c r="X570" s="202"/>
      <c r="Y570" s="13"/>
      <c r="Z570" s="36"/>
      <c r="AA570" s="13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289"/>
      <c r="AO570" s="289"/>
      <c r="AP570" s="289"/>
      <c r="AQ570" s="36"/>
      <c r="AR570" s="283"/>
      <c r="AS570" s="13"/>
      <c r="AT570" s="13"/>
      <c r="AU570" s="32"/>
      <c r="AV570" s="277"/>
      <c r="AW570" s="277"/>
      <c r="AX570" s="277"/>
      <c r="AY570" s="280"/>
      <c r="AZ570" s="268"/>
      <c r="BA570" s="268"/>
      <c r="BB570" s="13"/>
      <c r="BC570" s="36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</row>
    <row r="571" spans="1:73">
      <c r="A571" s="13"/>
      <c r="B571" s="13"/>
      <c r="C571" s="13"/>
      <c r="D571" s="13"/>
      <c r="E571" s="13"/>
      <c r="F571" s="13"/>
      <c r="G571" s="36"/>
      <c r="H571" s="36"/>
      <c r="I571" s="36"/>
      <c r="J571" s="36"/>
      <c r="K571" s="36"/>
      <c r="L571" s="36"/>
      <c r="M571" s="36"/>
      <c r="N571" s="13"/>
      <c r="O571" s="202"/>
      <c r="P571" s="36"/>
      <c r="Q571" s="52"/>
      <c r="R571" s="52"/>
      <c r="S571" s="52"/>
      <c r="U571" s="202"/>
      <c r="V571" s="202"/>
      <c r="W571" s="202"/>
      <c r="X571" s="202"/>
      <c r="Y571" s="13"/>
      <c r="Z571" s="36"/>
      <c r="AA571" s="13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289"/>
      <c r="AO571" s="289"/>
      <c r="AP571" s="289"/>
      <c r="AQ571" s="36"/>
      <c r="AR571" s="283"/>
      <c r="AS571" s="13"/>
      <c r="AT571" s="13"/>
      <c r="AU571" s="32"/>
      <c r="AV571" s="277"/>
      <c r="AW571" s="277"/>
      <c r="AX571" s="277"/>
      <c r="AY571" s="280"/>
      <c r="AZ571" s="268"/>
      <c r="BA571" s="268"/>
      <c r="BB571" s="13"/>
      <c r="BC571" s="36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</row>
    <row r="572" spans="1:73">
      <c r="A572" s="13"/>
      <c r="B572" s="13"/>
      <c r="C572" s="13"/>
      <c r="D572" s="13"/>
      <c r="E572" s="13"/>
      <c r="F572" s="13"/>
      <c r="G572" s="36"/>
      <c r="H572" s="36"/>
      <c r="I572" s="36"/>
      <c r="J572" s="36"/>
      <c r="K572" s="36"/>
      <c r="L572" s="36"/>
      <c r="M572" s="36"/>
      <c r="N572" s="13"/>
      <c r="O572" s="202"/>
      <c r="P572" s="36"/>
      <c r="Q572" s="52"/>
      <c r="R572" s="52"/>
      <c r="S572" s="52"/>
      <c r="U572" s="202"/>
      <c r="V572" s="202"/>
      <c r="W572" s="202"/>
      <c r="X572" s="202"/>
      <c r="Y572" s="13"/>
      <c r="Z572" s="36"/>
      <c r="AA572" s="13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289"/>
      <c r="AO572" s="289"/>
      <c r="AP572" s="289"/>
      <c r="AQ572" s="36"/>
      <c r="AR572" s="283"/>
      <c r="AS572" s="13"/>
      <c r="AT572" s="13"/>
      <c r="AU572" s="32"/>
      <c r="AV572" s="277"/>
      <c r="AW572" s="277"/>
      <c r="AX572" s="277"/>
      <c r="AY572" s="280"/>
      <c r="AZ572" s="268"/>
      <c r="BA572" s="268"/>
      <c r="BB572" s="13"/>
      <c r="BC572" s="36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</row>
    <row r="573" spans="1:73">
      <c r="A573" s="13"/>
      <c r="B573" s="13"/>
      <c r="C573" s="13"/>
      <c r="D573" s="13"/>
      <c r="E573" s="13"/>
      <c r="F573" s="13"/>
      <c r="G573" s="36"/>
      <c r="H573" s="36"/>
      <c r="I573" s="36"/>
      <c r="J573" s="36"/>
      <c r="K573" s="36"/>
      <c r="L573" s="36"/>
      <c r="M573" s="36"/>
      <c r="N573" s="13"/>
      <c r="O573" s="202"/>
      <c r="P573" s="36"/>
      <c r="Q573" s="52"/>
      <c r="R573" s="52"/>
      <c r="S573" s="52"/>
      <c r="U573" s="202"/>
      <c r="V573" s="202"/>
      <c r="W573" s="202"/>
      <c r="X573" s="202"/>
      <c r="Y573" s="13"/>
      <c r="Z573" s="36"/>
      <c r="AA573" s="13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289"/>
      <c r="AO573" s="289"/>
      <c r="AP573" s="289"/>
      <c r="AQ573" s="36"/>
      <c r="AR573" s="283"/>
      <c r="AS573" s="13"/>
      <c r="AT573" s="13"/>
      <c r="AU573" s="32"/>
      <c r="AV573" s="277"/>
      <c r="AW573" s="277"/>
      <c r="AX573" s="277"/>
      <c r="AY573" s="280"/>
      <c r="AZ573" s="268"/>
      <c r="BA573" s="268"/>
      <c r="BB573" s="13"/>
      <c r="BC573" s="36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</row>
    <row r="574" spans="1:73">
      <c r="A574" s="13"/>
      <c r="B574" s="13"/>
      <c r="C574" s="13"/>
      <c r="D574" s="13"/>
      <c r="E574" s="13"/>
      <c r="F574" s="13"/>
      <c r="G574" s="36"/>
      <c r="H574" s="36"/>
      <c r="I574" s="36"/>
      <c r="J574" s="36"/>
      <c r="K574" s="36"/>
      <c r="L574" s="36"/>
      <c r="M574" s="36"/>
      <c r="N574" s="13"/>
      <c r="O574" s="202"/>
      <c r="P574" s="36"/>
      <c r="Q574" s="52"/>
      <c r="R574" s="52"/>
      <c r="S574" s="52"/>
      <c r="U574" s="202"/>
      <c r="V574" s="202"/>
      <c r="W574" s="202"/>
      <c r="X574" s="202"/>
      <c r="Y574" s="13"/>
      <c r="Z574" s="36"/>
      <c r="AA574" s="13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289"/>
      <c r="AO574" s="289"/>
      <c r="AP574" s="289"/>
      <c r="AQ574" s="36"/>
      <c r="AR574" s="283"/>
      <c r="AS574" s="13"/>
      <c r="AT574" s="13"/>
      <c r="AU574" s="32"/>
      <c r="AV574" s="277"/>
      <c r="AW574" s="277"/>
      <c r="AX574" s="277"/>
      <c r="AY574" s="280"/>
      <c r="AZ574" s="268"/>
      <c r="BA574" s="268"/>
      <c r="BB574" s="13"/>
      <c r="BC574" s="36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</row>
    <row r="575" spans="1:73">
      <c r="A575" s="13"/>
      <c r="B575" s="13"/>
      <c r="C575" s="13"/>
      <c r="D575" s="13"/>
      <c r="E575" s="13"/>
      <c r="F575" s="13"/>
      <c r="G575" s="36"/>
      <c r="H575" s="36"/>
      <c r="I575" s="36"/>
      <c r="J575" s="36"/>
      <c r="K575" s="36"/>
      <c r="L575" s="36"/>
      <c r="M575" s="36"/>
      <c r="N575" s="13"/>
      <c r="O575" s="202"/>
      <c r="P575" s="36"/>
      <c r="Q575" s="52"/>
      <c r="R575" s="52"/>
      <c r="S575" s="52"/>
      <c r="U575" s="202"/>
      <c r="V575" s="202"/>
      <c r="W575" s="202"/>
      <c r="X575" s="202"/>
      <c r="Y575" s="13"/>
      <c r="Z575" s="36"/>
      <c r="AA575" s="13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289"/>
      <c r="AO575" s="289"/>
      <c r="AP575" s="289"/>
      <c r="AQ575" s="36"/>
      <c r="AR575" s="283"/>
      <c r="AS575" s="13"/>
      <c r="AT575" s="13"/>
      <c r="AU575" s="32"/>
      <c r="AV575" s="277"/>
      <c r="AW575" s="277"/>
      <c r="AX575" s="277"/>
      <c r="AY575" s="280"/>
      <c r="AZ575" s="268"/>
      <c r="BA575" s="268"/>
      <c r="BB575" s="13"/>
      <c r="BC575" s="36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</row>
    <row r="576" spans="1:73">
      <c r="A576" s="13"/>
      <c r="B576" s="13"/>
      <c r="C576" s="13"/>
      <c r="D576" s="13"/>
      <c r="E576" s="13"/>
      <c r="F576" s="13"/>
      <c r="G576" s="36"/>
      <c r="H576" s="36"/>
      <c r="I576" s="36"/>
      <c r="J576" s="36"/>
      <c r="K576" s="36"/>
      <c r="L576" s="36"/>
      <c r="M576" s="36"/>
      <c r="N576" s="13"/>
      <c r="O576" s="202"/>
      <c r="P576" s="36"/>
      <c r="Q576" s="52"/>
      <c r="R576" s="52"/>
      <c r="S576" s="52"/>
      <c r="U576" s="202"/>
      <c r="V576" s="202"/>
      <c r="W576" s="202"/>
      <c r="X576" s="202"/>
      <c r="Y576" s="13"/>
      <c r="Z576" s="36"/>
      <c r="AA576" s="13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289"/>
      <c r="AO576" s="289"/>
      <c r="AP576" s="289"/>
      <c r="AQ576" s="36"/>
      <c r="AR576" s="283"/>
      <c r="AS576" s="13"/>
      <c r="AT576" s="13"/>
      <c r="AU576" s="32"/>
      <c r="AV576" s="277"/>
      <c r="AW576" s="277"/>
      <c r="AX576" s="277"/>
      <c r="AY576" s="280"/>
      <c r="AZ576" s="268"/>
      <c r="BA576" s="268"/>
      <c r="BB576" s="13"/>
      <c r="BC576" s="36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</row>
    <row r="577" spans="1:73">
      <c r="A577" s="13"/>
      <c r="B577" s="13"/>
      <c r="C577" s="13"/>
      <c r="D577" s="13"/>
      <c r="E577" s="13"/>
      <c r="F577" s="13"/>
      <c r="G577" s="36"/>
      <c r="H577" s="36"/>
      <c r="I577" s="36"/>
      <c r="J577" s="36"/>
      <c r="K577" s="36"/>
      <c r="L577" s="36"/>
      <c r="M577" s="36"/>
      <c r="N577" s="13"/>
      <c r="O577" s="202"/>
      <c r="P577" s="36"/>
      <c r="Q577" s="52"/>
      <c r="R577" s="52"/>
      <c r="S577" s="52"/>
      <c r="U577" s="202"/>
      <c r="V577" s="202"/>
      <c r="W577" s="202"/>
      <c r="X577" s="202"/>
      <c r="Y577" s="13"/>
      <c r="Z577" s="36"/>
      <c r="AA577" s="13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289"/>
      <c r="AO577" s="289"/>
      <c r="AP577" s="289"/>
      <c r="AQ577" s="36"/>
      <c r="AR577" s="283"/>
      <c r="AS577" s="13"/>
      <c r="AT577" s="13"/>
      <c r="AU577" s="32"/>
      <c r="AV577" s="277"/>
      <c r="AW577" s="277"/>
      <c r="AX577" s="277"/>
      <c r="AY577" s="280"/>
      <c r="AZ577" s="268"/>
      <c r="BA577" s="268"/>
      <c r="BB577" s="13"/>
      <c r="BC577" s="36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</row>
    <row r="578" spans="1:73">
      <c r="A578" s="13"/>
      <c r="B578" s="13"/>
      <c r="C578" s="13"/>
      <c r="D578" s="13"/>
      <c r="E578" s="13"/>
      <c r="F578" s="13"/>
      <c r="G578" s="36"/>
      <c r="H578" s="36"/>
      <c r="I578" s="36"/>
      <c r="J578" s="36"/>
      <c r="K578" s="36"/>
      <c r="L578" s="36"/>
      <c r="M578" s="36"/>
      <c r="N578" s="13"/>
      <c r="O578" s="202"/>
      <c r="P578" s="36"/>
      <c r="Q578" s="52"/>
      <c r="R578" s="52"/>
      <c r="S578" s="52"/>
      <c r="U578" s="202"/>
      <c r="V578" s="202"/>
      <c r="W578" s="202"/>
      <c r="X578" s="202"/>
      <c r="Y578" s="13"/>
      <c r="Z578" s="36"/>
      <c r="AA578" s="13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289"/>
      <c r="AO578" s="289"/>
      <c r="AP578" s="289"/>
      <c r="AQ578" s="36"/>
      <c r="AR578" s="283"/>
      <c r="AS578" s="13"/>
      <c r="AT578" s="13"/>
      <c r="AU578" s="32"/>
      <c r="AV578" s="277"/>
      <c r="AW578" s="277"/>
      <c r="AX578" s="277"/>
      <c r="AY578" s="280"/>
      <c r="AZ578" s="268"/>
      <c r="BA578" s="268"/>
      <c r="BB578" s="13"/>
      <c r="BC578" s="36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</row>
    <row r="579" spans="1:73">
      <c r="A579" s="13"/>
      <c r="B579" s="13"/>
      <c r="C579" s="13"/>
      <c r="D579" s="13"/>
      <c r="E579" s="13"/>
      <c r="F579" s="13"/>
      <c r="G579" s="36"/>
      <c r="H579" s="36"/>
      <c r="I579" s="36"/>
      <c r="J579" s="36"/>
      <c r="K579" s="36"/>
      <c r="L579" s="36"/>
      <c r="M579" s="36"/>
      <c r="N579" s="13"/>
      <c r="O579" s="202"/>
      <c r="P579" s="36"/>
      <c r="Q579" s="52"/>
      <c r="R579" s="52"/>
      <c r="S579" s="52"/>
      <c r="U579" s="202"/>
      <c r="V579" s="202"/>
      <c r="W579" s="202"/>
      <c r="X579" s="202"/>
      <c r="Y579" s="13"/>
      <c r="Z579" s="36"/>
      <c r="AA579" s="13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289"/>
      <c r="AO579" s="289"/>
      <c r="AP579" s="289"/>
      <c r="AQ579" s="36"/>
      <c r="AR579" s="283"/>
      <c r="AS579" s="13"/>
      <c r="AT579" s="13"/>
      <c r="AU579" s="32"/>
      <c r="AV579" s="277"/>
      <c r="AW579" s="277"/>
      <c r="AX579" s="277"/>
      <c r="AY579" s="280"/>
      <c r="AZ579" s="268"/>
      <c r="BA579" s="268"/>
      <c r="BB579" s="13"/>
      <c r="BC579" s="36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</row>
    <row r="580" spans="1:73">
      <c r="A580" s="13"/>
      <c r="B580" s="13"/>
      <c r="C580" s="13"/>
      <c r="D580" s="13"/>
      <c r="E580" s="13"/>
      <c r="F580" s="13"/>
      <c r="G580" s="36"/>
      <c r="H580" s="36"/>
      <c r="I580" s="36"/>
      <c r="J580" s="36"/>
      <c r="K580" s="36"/>
      <c r="L580" s="36"/>
      <c r="M580" s="36"/>
      <c r="N580" s="13"/>
      <c r="O580" s="202"/>
      <c r="P580" s="36"/>
      <c r="Q580" s="52"/>
      <c r="R580" s="52"/>
      <c r="S580" s="52"/>
      <c r="U580" s="202"/>
      <c r="V580" s="202"/>
      <c r="W580" s="202"/>
      <c r="X580" s="202"/>
      <c r="Y580" s="13"/>
      <c r="Z580" s="36"/>
      <c r="AA580" s="13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289"/>
      <c r="AO580" s="289"/>
      <c r="AP580" s="289"/>
      <c r="AQ580" s="36"/>
      <c r="AR580" s="283"/>
      <c r="AS580" s="13"/>
      <c r="AT580" s="13"/>
      <c r="AU580" s="32"/>
      <c r="AV580" s="277"/>
      <c r="AW580" s="277"/>
      <c r="AX580" s="277"/>
      <c r="AY580" s="280"/>
      <c r="AZ580" s="268"/>
      <c r="BA580" s="268"/>
      <c r="BB580" s="13"/>
      <c r="BC580" s="36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</row>
    <row r="581" spans="1:73">
      <c r="A581" s="13"/>
      <c r="B581" s="13"/>
      <c r="C581" s="13"/>
      <c r="D581" s="13"/>
      <c r="E581" s="13"/>
      <c r="F581" s="13"/>
      <c r="G581" s="36"/>
      <c r="H581" s="36"/>
      <c r="I581" s="36"/>
      <c r="J581" s="36"/>
      <c r="K581" s="36"/>
      <c r="L581" s="36"/>
      <c r="M581" s="36"/>
      <c r="N581" s="13"/>
      <c r="O581" s="202"/>
      <c r="P581" s="36"/>
      <c r="Q581" s="52"/>
      <c r="R581" s="52"/>
      <c r="S581" s="52"/>
      <c r="U581" s="202"/>
      <c r="V581" s="202"/>
      <c r="W581" s="202"/>
      <c r="X581" s="202"/>
      <c r="Y581" s="13"/>
      <c r="Z581" s="36"/>
      <c r="AA581" s="13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289"/>
      <c r="AO581" s="289"/>
      <c r="AP581" s="289"/>
      <c r="AQ581" s="36"/>
      <c r="AR581" s="283"/>
      <c r="AS581" s="13"/>
      <c r="AT581" s="13"/>
      <c r="AU581" s="32"/>
      <c r="AV581" s="277"/>
      <c r="AW581" s="277"/>
      <c r="AX581" s="277"/>
      <c r="AY581" s="280"/>
      <c r="AZ581" s="268"/>
      <c r="BA581" s="268"/>
      <c r="BB581" s="13"/>
      <c r="BC581" s="36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</row>
    <row r="582" spans="1:73">
      <c r="A582" s="13"/>
      <c r="B582" s="13"/>
      <c r="C582" s="13"/>
      <c r="D582" s="13"/>
      <c r="E582" s="13"/>
      <c r="F582" s="13"/>
      <c r="G582" s="36"/>
      <c r="H582" s="36"/>
      <c r="I582" s="36"/>
      <c r="J582" s="36"/>
      <c r="K582" s="36"/>
      <c r="L582" s="36"/>
      <c r="M582" s="36"/>
      <c r="N582" s="13"/>
      <c r="O582" s="202"/>
      <c r="P582" s="36"/>
      <c r="Q582" s="52"/>
      <c r="R582" s="52"/>
      <c r="S582" s="52"/>
      <c r="U582" s="202"/>
      <c r="V582" s="202"/>
      <c r="W582" s="202"/>
      <c r="X582" s="202"/>
      <c r="Y582" s="13"/>
      <c r="Z582" s="36"/>
      <c r="AA582" s="13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289"/>
      <c r="AO582" s="289"/>
      <c r="AP582" s="289"/>
      <c r="AQ582" s="36"/>
      <c r="AR582" s="283"/>
      <c r="AS582" s="13"/>
      <c r="AT582" s="13"/>
      <c r="AU582" s="32"/>
      <c r="AV582" s="277"/>
      <c r="AW582" s="277"/>
      <c r="AX582" s="277"/>
      <c r="AY582" s="280"/>
      <c r="AZ582" s="268"/>
      <c r="BA582" s="268"/>
      <c r="BB582" s="13"/>
      <c r="BC582" s="36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</row>
    <row r="583" spans="1:73">
      <c r="A583" s="13"/>
      <c r="B583" s="13"/>
      <c r="C583" s="13"/>
      <c r="D583" s="13"/>
      <c r="E583" s="13"/>
      <c r="F583" s="13"/>
      <c r="G583" s="36"/>
      <c r="H583" s="36"/>
      <c r="I583" s="36"/>
      <c r="J583" s="36"/>
      <c r="K583" s="36"/>
      <c r="L583" s="36"/>
      <c r="M583" s="36"/>
      <c r="N583" s="13"/>
      <c r="O583" s="202"/>
      <c r="P583" s="36"/>
      <c r="Q583" s="52"/>
      <c r="R583" s="52"/>
      <c r="S583" s="52"/>
      <c r="U583" s="202"/>
      <c r="V583" s="202"/>
      <c r="W583" s="202"/>
      <c r="X583" s="202"/>
      <c r="Y583" s="13"/>
      <c r="Z583" s="36"/>
      <c r="AA583" s="13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289"/>
      <c r="AO583" s="289"/>
      <c r="AP583" s="289"/>
      <c r="AQ583" s="36"/>
      <c r="AR583" s="283"/>
      <c r="AS583" s="13"/>
      <c r="AT583" s="13"/>
      <c r="AU583" s="32"/>
      <c r="AV583" s="277"/>
      <c r="AW583" s="277"/>
      <c r="AX583" s="277"/>
      <c r="AY583" s="280"/>
      <c r="AZ583" s="268"/>
      <c r="BA583" s="268"/>
      <c r="BB583" s="13"/>
      <c r="BC583" s="36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</row>
    <row r="584" spans="1:73">
      <c r="A584" s="13"/>
      <c r="B584" s="13"/>
      <c r="C584" s="13"/>
      <c r="D584" s="13"/>
      <c r="E584" s="13"/>
      <c r="F584" s="13"/>
      <c r="G584" s="36"/>
      <c r="H584" s="36"/>
      <c r="I584" s="36"/>
      <c r="J584" s="36"/>
      <c r="K584" s="36"/>
      <c r="L584" s="36"/>
      <c r="M584" s="36"/>
      <c r="N584" s="13"/>
      <c r="O584" s="202"/>
      <c r="P584" s="36"/>
      <c r="Q584" s="52"/>
      <c r="R584" s="52"/>
      <c r="S584" s="52"/>
      <c r="U584" s="202"/>
      <c r="V584" s="202"/>
      <c r="W584" s="202"/>
      <c r="X584" s="202"/>
      <c r="Y584" s="13"/>
      <c r="Z584" s="36"/>
      <c r="AA584" s="13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289"/>
      <c r="AO584" s="289"/>
      <c r="AP584" s="289"/>
      <c r="AQ584" s="36"/>
      <c r="AR584" s="283"/>
      <c r="AS584" s="13"/>
      <c r="AT584" s="13"/>
      <c r="AU584" s="32"/>
      <c r="AV584" s="277"/>
      <c r="AW584" s="277"/>
      <c r="AX584" s="277"/>
      <c r="AY584" s="280"/>
      <c r="AZ584" s="268"/>
      <c r="BA584" s="268"/>
      <c r="BB584" s="13"/>
      <c r="BC584" s="36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</row>
    <row r="585" spans="1:73">
      <c r="A585" s="13"/>
      <c r="B585" s="13"/>
      <c r="C585" s="13"/>
      <c r="D585" s="13"/>
      <c r="E585" s="13"/>
      <c r="F585" s="13"/>
      <c r="G585" s="36"/>
      <c r="H585" s="36"/>
      <c r="I585" s="36"/>
      <c r="J585" s="36"/>
      <c r="K585" s="36"/>
      <c r="L585" s="36"/>
      <c r="M585" s="36"/>
      <c r="N585" s="13"/>
      <c r="O585" s="202"/>
      <c r="P585" s="36"/>
      <c r="Q585" s="52"/>
      <c r="R585" s="52"/>
      <c r="S585" s="52"/>
      <c r="U585" s="202"/>
      <c r="V585" s="202"/>
      <c r="W585" s="202"/>
      <c r="X585" s="202"/>
      <c r="Y585" s="13"/>
      <c r="Z585" s="36"/>
      <c r="AA585" s="13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289"/>
      <c r="AO585" s="289"/>
      <c r="AP585" s="289"/>
      <c r="AQ585" s="36"/>
      <c r="AR585" s="283"/>
      <c r="AS585" s="13"/>
      <c r="AT585" s="13"/>
      <c r="AU585" s="32"/>
      <c r="AV585" s="277"/>
      <c r="AW585" s="277"/>
      <c r="AX585" s="277"/>
      <c r="AY585" s="280"/>
      <c r="AZ585" s="268"/>
      <c r="BA585" s="268"/>
      <c r="BB585" s="13"/>
      <c r="BC585" s="36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</row>
    <row r="586" spans="1:73">
      <c r="A586" s="13"/>
      <c r="B586" s="13"/>
      <c r="C586" s="13"/>
      <c r="D586" s="13"/>
      <c r="E586" s="13"/>
      <c r="F586" s="13"/>
      <c r="G586" s="36"/>
      <c r="H586" s="36"/>
      <c r="I586" s="36"/>
      <c r="J586" s="36"/>
      <c r="K586" s="36"/>
      <c r="L586" s="36"/>
      <c r="M586" s="36"/>
      <c r="N586" s="13"/>
      <c r="O586" s="202"/>
      <c r="P586" s="36"/>
      <c r="Q586" s="52"/>
      <c r="R586" s="52"/>
      <c r="S586" s="52"/>
      <c r="U586" s="202"/>
      <c r="V586" s="202"/>
      <c r="W586" s="202"/>
      <c r="X586" s="202"/>
      <c r="Y586" s="13"/>
      <c r="Z586" s="36"/>
      <c r="AA586" s="13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289"/>
      <c r="AO586" s="289"/>
      <c r="AP586" s="289"/>
      <c r="AQ586" s="36"/>
      <c r="AR586" s="283"/>
      <c r="AS586" s="13"/>
      <c r="AT586" s="13"/>
      <c r="AU586" s="32"/>
      <c r="AV586" s="277"/>
      <c r="AW586" s="277"/>
      <c r="AX586" s="277"/>
      <c r="AY586" s="280"/>
      <c r="AZ586" s="268"/>
      <c r="BA586" s="268"/>
      <c r="BB586" s="13"/>
      <c r="BC586" s="36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</row>
    <row r="587" spans="1:73">
      <c r="A587" s="13"/>
      <c r="B587" s="13"/>
      <c r="C587" s="13"/>
      <c r="D587" s="13"/>
      <c r="E587" s="13"/>
      <c r="F587" s="13"/>
      <c r="G587" s="36"/>
      <c r="H587" s="36"/>
      <c r="I587" s="36"/>
      <c r="J587" s="36"/>
      <c r="K587" s="36"/>
      <c r="L587" s="36"/>
      <c r="M587" s="36"/>
      <c r="N587" s="13"/>
      <c r="O587" s="202"/>
      <c r="P587" s="36"/>
      <c r="Q587" s="52"/>
      <c r="R587" s="52"/>
      <c r="S587" s="52"/>
      <c r="U587" s="202"/>
      <c r="V587" s="202"/>
      <c r="W587" s="202"/>
      <c r="X587" s="202"/>
      <c r="Y587" s="13"/>
      <c r="Z587" s="36"/>
      <c r="AA587" s="13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289"/>
      <c r="AO587" s="289"/>
      <c r="AP587" s="289"/>
      <c r="AQ587" s="36"/>
      <c r="AR587" s="283"/>
      <c r="AS587" s="13"/>
      <c r="AT587" s="13"/>
      <c r="AU587" s="32"/>
      <c r="AV587" s="277"/>
      <c r="AW587" s="277"/>
      <c r="AX587" s="277"/>
      <c r="AY587" s="280"/>
      <c r="AZ587" s="268"/>
      <c r="BA587" s="268"/>
      <c r="BB587" s="13"/>
      <c r="BC587" s="36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</row>
    <row r="588" spans="1:73">
      <c r="A588" s="13"/>
      <c r="B588" s="13"/>
      <c r="C588" s="13"/>
      <c r="D588" s="13"/>
      <c r="E588" s="13"/>
      <c r="F588" s="13"/>
      <c r="G588" s="36"/>
      <c r="H588" s="36"/>
      <c r="I588" s="36"/>
      <c r="J588" s="36"/>
      <c r="K588" s="36"/>
      <c r="L588" s="36"/>
      <c r="M588" s="36"/>
      <c r="N588" s="13"/>
      <c r="O588" s="202"/>
      <c r="P588" s="36"/>
      <c r="Q588" s="52"/>
      <c r="R588" s="52"/>
      <c r="S588" s="52"/>
      <c r="U588" s="202"/>
      <c r="V588" s="202"/>
      <c r="W588" s="202"/>
      <c r="X588" s="202"/>
      <c r="Y588" s="13"/>
      <c r="Z588" s="36"/>
      <c r="AA588" s="13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289"/>
      <c r="AO588" s="289"/>
      <c r="AP588" s="289"/>
      <c r="AQ588" s="36"/>
      <c r="AR588" s="283"/>
      <c r="AS588" s="13"/>
      <c r="AT588" s="13"/>
      <c r="AU588" s="32"/>
      <c r="AV588" s="277"/>
      <c r="AW588" s="277"/>
      <c r="AX588" s="277"/>
      <c r="AY588" s="280"/>
      <c r="AZ588" s="268"/>
      <c r="BA588" s="268"/>
      <c r="BB588" s="13"/>
      <c r="BC588" s="36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</row>
    <row r="589" spans="1:73">
      <c r="A589" s="13"/>
      <c r="B589" s="13"/>
      <c r="C589" s="13"/>
      <c r="D589" s="13"/>
      <c r="E589" s="13"/>
      <c r="F589" s="13"/>
      <c r="G589" s="36"/>
      <c r="H589" s="36"/>
      <c r="I589" s="36"/>
      <c r="J589" s="36"/>
      <c r="K589" s="36"/>
      <c r="L589" s="36"/>
      <c r="M589" s="36"/>
      <c r="N589" s="13"/>
      <c r="O589" s="202"/>
      <c r="P589" s="36"/>
      <c r="Q589" s="52"/>
      <c r="R589" s="52"/>
      <c r="S589" s="52"/>
      <c r="U589" s="202"/>
      <c r="V589" s="202"/>
      <c r="W589" s="202"/>
      <c r="X589" s="202"/>
      <c r="Y589" s="13"/>
      <c r="Z589" s="36"/>
      <c r="AA589" s="13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289"/>
      <c r="AO589" s="289"/>
      <c r="AP589" s="289"/>
      <c r="AQ589" s="36"/>
      <c r="AR589" s="283"/>
      <c r="AS589" s="13"/>
      <c r="AT589" s="13"/>
      <c r="AU589" s="32"/>
      <c r="AV589" s="277"/>
      <c r="AW589" s="277"/>
      <c r="AX589" s="277"/>
      <c r="AY589" s="280"/>
      <c r="AZ589" s="268"/>
      <c r="BA589" s="268"/>
      <c r="BB589" s="13"/>
      <c r="BC589" s="36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</row>
    <row r="590" spans="1:73">
      <c r="A590" s="13"/>
      <c r="B590" s="13"/>
      <c r="C590" s="13"/>
      <c r="D590" s="13"/>
      <c r="E590" s="13"/>
      <c r="F590" s="13"/>
      <c r="G590" s="36"/>
      <c r="H590" s="36"/>
      <c r="I590" s="36"/>
      <c r="J590" s="36"/>
      <c r="K590" s="36"/>
      <c r="L590" s="36"/>
      <c r="M590" s="36"/>
      <c r="N590" s="13"/>
      <c r="O590" s="202"/>
      <c r="P590" s="36"/>
      <c r="Q590" s="52"/>
      <c r="R590" s="52"/>
      <c r="S590" s="52"/>
      <c r="U590" s="202"/>
      <c r="V590" s="202"/>
      <c r="W590" s="202"/>
      <c r="X590" s="202"/>
      <c r="Y590" s="13"/>
      <c r="Z590" s="36"/>
      <c r="AA590" s="13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289"/>
      <c r="AO590" s="289"/>
      <c r="AP590" s="289"/>
      <c r="AQ590" s="36"/>
      <c r="AR590" s="283"/>
      <c r="AS590" s="13"/>
      <c r="AT590" s="13"/>
      <c r="AU590" s="32"/>
      <c r="AV590" s="277"/>
      <c r="AW590" s="277"/>
      <c r="AX590" s="277"/>
      <c r="AY590" s="280"/>
      <c r="AZ590" s="268"/>
      <c r="BA590" s="268"/>
      <c r="BB590" s="13"/>
      <c r="BC590" s="36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</row>
    <row r="591" spans="1:73">
      <c r="A591" s="13"/>
      <c r="B591" s="13"/>
      <c r="C591" s="13"/>
      <c r="D591" s="13"/>
      <c r="E591" s="13"/>
      <c r="F591" s="13"/>
      <c r="G591" s="36"/>
      <c r="H591" s="36"/>
      <c r="I591" s="36"/>
      <c r="J591" s="36"/>
      <c r="K591" s="36"/>
      <c r="L591" s="36"/>
      <c r="M591" s="36"/>
      <c r="N591" s="13"/>
      <c r="O591" s="202"/>
      <c r="P591" s="36"/>
      <c r="Q591" s="52"/>
      <c r="R591" s="52"/>
      <c r="S591" s="52"/>
      <c r="U591" s="202"/>
      <c r="V591" s="202"/>
      <c r="W591" s="202"/>
      <c r="X591" s="202"/>
      <c r="Y591" s="13"/>
      <c r="Z591" s="36"/>
      <c r="AA591" s="13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289"/>
      <c r="AO591" s="289"/>
      <c r="AP591" s="289"/>
      <c r="AQ591" s="36"/>
      <c r="AR591" s="283"/>
      <c r="AS591" s="13"/>
      <c r="AT591" s="13"/>
      <c r="AU591" s="32"/>
      <c r="AV591" s="277"/>
      <c r="AW591" s="277"/>
      <c r="AX591" s="277"/>
      <c r="AY591" s="280"/>
      <c r="AZ591" s="268"/>
      <c r="BA591" s="268"/>
      <c r="BB591" s="13"/>
      <c r="BC591" s="36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</row>
    <row r="592" spans="1:73">
      <c r="A592" s="13"/>
      <c r="B592" s="13"/>
      <c r="C592" s="13"/>
      <c r="D592" s="13"/>
      <c r="E592" s="13"/>
      <c r="F592" s="13"/>
      <c r="G592" s="36"/>
      <c r="H592" s="36"/>
      <c r="I592" s="36"/>
      <c r="J592" s="36"/>
      <c r="K592" s="36"/>
      <c r="L592" s="36"/>
      <c r="M592" s="36"/>
      <c r="N592" s="13"/>
      <c r="O592" s="202"/>
      <c r="P592" s="36"/>
      <c r="Q592" s="52"/>
      <c r="R592" s="52"/>
      <c r="S592" s="52"/>
      <c r="U592" s="202"/>
      <c r="V592" s="202"/>
      <c r="W592" s="202"/>
      <c r="X592" s="202"/>
      <c r="Y592" s="13"/>
      <c r="Z592" s="36"/>
      <c r="AA592" s="13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289"/>
      <c r="AO592" s="289"/>
      <c r="AP592" s="289"/>
      <c r="AQ592" s="36"/>
      <c r="AR592" s="283"/>
      <c r="AS592" s="13"/>
      <c r="AT592" s="13"/>
      <c r="AU592" s="32"/>
      <c r="AV592" s="277"/>
      <c r="AW592" s="277"/>
      <c r="AX592" s="277"/>
      <c r="AY592" s="280"/>
      <c r="AZ592" s="268"/>
      <c r="BA592" s="268"/>
      <c r="BB592" s="13"/>
      <c r="BC592" s="36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</row>
    <row r="593" spans="1:73">
      <c r="A593" s="13"/>
      <c r="B593" s="13"/>
      <c r="C593" s="13"/>
      <c r="D593" s="13"/>
      <c r="E593" s="13"/>
      <c r="F593" s="13"/>
      <c r="G593" s="36"/>
      <c r="H593" s="36"/>
      <c r="I593" s="36"/>
      <c r="J593" s="36"/>
      <c r="K593" s="36"/>
      <c r="L593" s="36"/>
      <c r="M593" s="36"/>
      <c r="N593" s="13"/>
      <c r="O593" s="202"/>
      <c r="P593" s="36"/>
      <c r="Q593" s="52"/>
      <c r="R593" s="52"/>
      <c r="S593" s="52"/>
      <c r="U593" s="202"/>
      <c r="V593" s="202"/>
      <c r="W593" s="202"/>
      <c r="X593" s="202"/>
      <c r="Y593" s="13"/>
      <c r="Z593" s="36"/>
      <c r="AA593" s="13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289"/>
      <c r="AO593" s="289"/>
      <c r="AP593" s="289"/>
      <c r="AQ593" s="36"/>
      <c r="AR593" s="283"/>
      <c r="AS593" s="13"/>
      <c r="AT593" s="13"/>
      <c r="AU593" s="32"/>
      <c r="AV593" s="277"/>
      <c r="AW593" s="277"/>
      <c r="AX593" s="277"/>
      <c r="AY593" s="280"/>
      <c r="AZ593" s="268"/>
      <c r="BA593" s="268"/>
      <c r="BB593" s="13"/>
      <c r="BC593" s="36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</row>
    <row r="594" spans="1:73">
      <c r="A594" s="13"/>
      <c r="B594" s="13"/>
      <c r="C594" s="13"/>
      <c r="D594" s="13"/>
      <c r="E594" s="13"/>
      <c r="F594" s="13"/>
      <c r="G594" s="36"/>
      <c r="H594" s="36"/>
      <c r="I594" s="36"/>
      <c r="J594" s="36"/>
      <c r="K594" s="36"/>
      <c r="L594" s="36"/>
      <c r="M594" s="36"/>
      <c r="N594" s="13"/>
      <c r="O594" s="202"/>
      <c r="P594" s="36"/>
      <c r="Q594" s="52"/>
      <c r="R594" s="52"/>
      <c r="S594" s="52"/>
      <c r="U594" s="202"/>
      <c r="V594" s="202"/>
      <c r="W594" s="202"/>
      <c r="X594" s="202"/>
      <c r="Y594" s="13"/>
      <c r="Z594" s="36"/>
      <c r="AA594" s="13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289"/>
      <c r="AO594" s="289"/>
      <c r="AP594" s="289"/>
      <c r="AQ594" s="36"/>
      <c r="AR594" s="283"/>
      <c r="AS594" s="13"/>
      <c r="AT594" s="13"/>
      <c r="AU594" s="32"/>
      <c r="AV594" s="277"/>
      <c r="AW594" s="277"/>
      <c r="AX594" s="277"/>
      <c r="AY594" s="280"/>
      <c r="AZ594" s="268"/>
      <c r="BA594" s="268"/>
      <c r="BB594" s="13"/>
      <c r="BC594" s="36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</row>
    <row r="595" spans="1:73">
      <c r="A595" s="13"/>
      <c r="B595" s="13"/>
      <c r="C595" s="13"/>
      <c r="D595" s="13"/>
      <c r="E595" s="13"/>
      <c r="F595" s="13"/>
      <c r="G595" s="36"/>
      <c r="H595" s="36"/>
      <c r="I595" s="36"/>
      <c r="J595" s="36"/>
      <c r="K595" s="36"/>
      <c r="L595" s="36"/>
      <c r="M595" s="36"/>
      <c r="N595" s="13"/>
      <c r="O595" s="202"/>
      <c r="P595" s="36"/>
      <c r="Q595" s="52"/>
      <c r="R595" s="52"/>
      <c r="S595" s="52"/>
      <c r="U595" s="202"/>
      <c r="V595" s="202"/>
      <c r="W595" s="202"/>
      <c r="X595" s="202"/>
      <c r="Y595" s="13"/>
      <c r="Z595" s="36"/>
      <c r="AA595" s="13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289"/>
      <c r="AO595" s="289"/>
      <c r="AP595" s="289"/>
      <c r="AQ595" s="36"/>
      <c r="AR595" s="283"/>
      <c r="AS595" s="13"/>
      <c r="AT595" s="13"/>
      <c r="AU595" s="32"/>
      <c r="AV595" s="277"/>
      <c r="AW595" s="277"/>
      <c r="AX595" s="277"/>
      <c r="AY595" s="280"/>
      <c r="AZ595" s="268"/>
      <c r="BA595" s="268"/>
      <c r="BB595" s="13"/>
      <c r="BC595" s="36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</row>
    <row r="596" spans="1:73">
      <c r="A596" s="13"/>
      <c r="B596" s="13"/>
      <c r="C596" s="13"/>
      <c r="D596" s="13"/>
      <c r="E596" s="13"/>
      <c r="F596" s="13"/>
      <c r="G596" s="36"/>
      <c r="H596" s="36"/>
      <c r="I596" s="36"/>
      <c r="J596" s="36"/>
      <c r="K596" s="36"/>
      <c r="L596" s="36"/>
      <c r="M596" s="36"/>
      <c r="N596" s="13"/>
      <c r="O596" s="202"/>
      <c r="P596" s="36"/>
      <c r="Q596" s="52"/>
      <c r="R596" s="52"/>
      <c r="S596" s="52"/>
      <c r="U596" s="202"/>
      <c r="V596" s="202"/>
      <c r="W596" s="202"/>
      <c r="X596" s="202"/>
      <c r="Y596" s="13"/>
      <c r="Z596" s="36"/>
      <c r="AA596" s="13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289"/>
      <c r="AO596" s="289"/>
      <c r="AP596" s="289"/>
      <c r="AQ596" s="36"/>
      <c r="AR596" s="283"/>
      <c r="AS596" s="13"/>
      <c r="AT596" s="13"/>
      <c r="AU596" s="32"/>
      <c r="AV596" s="277"/>
      <c r="AW596" s="277"/>
      <c r="AX596" s="277"/>
      <c r="AY596" s="280"/>
      <c r="AZ596" s="268"/>
      <c r="BA596" s="268"/>
      <c r="BB596" s="13"/>
      <c r="BC596" s="36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</row>
    <row r="597" spans="1:73">
      <c r="A597" s="13"/>
      <c r="B597" s="13"/>
      <c r="C597" s="13"/>
      <c r="D597" s="13"/>
      <c r="E597" s="13"/>
      <c r="F597" s="13"/>
      <c r="G597" s="36"/>
      <c r="H597" s="36"/>
      <c r="I597" s="36"/>
      <c r="J597" s="36"/>
      <c r="K597" s="36"/>
      <c r="L597" s="36"/>
      <c r="M597" s="36"/>
      <c r="N597" s="13"/>
      <c r="O597" s="202"/>
      <c r="P597" s="36"/>
      <c r="Q597" s="52"/>
      <c r="R597" s="52"/>
      <c r="S597" s="52"/>
      <c r="U597" s="202"/>
      <c r="V597" s="202"/>
      <c r="W597" s="202"/>
      <c r="X597" s="202"/>
      <c r="Y597" s="13"/>
      <c r="Z597" s="36"/>
      <c r="AA597" s="13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289"/>
      <c r="AO597" s="289"/>
      <c r="AP597" s="289"/>
      <c r="AQ597" s="36"/>
      <c r="AR597" s="283"/>
      <c r="AS597" s="13"/>
      <c r="AT597" s="13"/>
      <c r="AU597" s="32"/>
      <c r="AV597" s="277"/>
      <c r="AW597" s="277"/>
      <c r="AX597" s="277"/>
      <c r="AY597" s="280"/>
      <c r="AZ597" s="268"/>
      <c r="BA597" s="268"/>
      <c r="BB597" s="13"/>
      <c r="BC597" s="36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</row>
    <row r="598" spans="1:73">
      <c r="A598" s="13"/>
      <c r="B598" s="13"/>
      <c r="C598" s="13"/>
      <c r="D598" s="13"/>
      <c r="E598" s="13"/>
      <c r="F598" s="13"/>
      <c r="G598" s="36"/>
      <c r="H598" s="36"/>
      <c r="I598" s="36"/>
      <c r="J598" s="36"/>
      <c r="K598" s="36"/>
      <c r="L598" s="36"/>
      <c r="M598" s="36"/>
      <c r="N598" s="13"/>
      <c r="O598" s="202"/>
      <c r="P598" s="36"/>
      <c r="Q598" s="52"/>
      <c r="R598" s="52"/>
      <c r="S598" s="52"/>
      <c r="U598" s="202"/>
      <c r="V598" s="202"/>
      <c r="W598" s="202"/>
      <c r="X598" s="202"/>
      <c r="Y598" s="13"/>
      <c r="Z598" s="36"/>
      <c r="AA598" s="13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289"/>
      <c r="AO598" s="289"/>
      <c r="AP598" s="289"/>
      <c r="AQ598" s="36"/>
      <c r="AR598" s="283"/>
      <c r="AS598" s="13"/>
      <c r="AT598" s="13"/>
      <c r="AU598" s="32"/>
      <c r="AV598" s="277"/>
      <c r="AW598" s="277"/>
      <c r="AX598" s="277"/>
      <c r="AY598" s="280"/>
      <c r="AZ598" s="268"/>
      <c r="BA598" s="268"/>
      <c r="BB598" s="13"/>
      <c r="BC598" s="36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</row>
    <row r="599" spans="1:73">
      <c r="A599" s="13"/>
      <c r="B599" s="13"/>
      <c r="C599" s="13"/>
      <c r="D599" s="13"/>
      <c r="E599" s="13"/>
      <c r="F599" s="13"/>
      <c r="G599" s="36"/>
      <c r="H599" s="36"/>
      <c r="I599" s="36"/>
      <c r="J599" s="36"/>
      <c r="K599" s="36"/>
      <c r="L599" s="36"/>
      <c r="M599" s="36"/>
      <c r="N599" s="13"/>
      <c r="O599" s="202"/>
      <c r="P599" s="36"/>
      <c r="Q599" s="52"/>
      <c r="R599" s="52"/>
      <c r="S599" s="52"/>
      <c r="U599" s="202"/>
      <c r="V599" s="202"/>
      <c r="W599" s="202"/>
      <c r="X599" s="202"/>
      <c r="Y599" s="13"/>
      <c r="Z599" s="36"/>
      <c r="AA599" s="13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289"/>
      <c r="AO599" s="289"/>
      <c r="AP599" s="289"/>
      <c r="AQ599" s="36"/>
      <c r="AR599" s="283"/>
      <c r="AS599" s="13"/>
      <c r="AT599" s="13"/>
      <c r="AU599" s="32"/>
      <c r="AV599" s="277"/>
      <c r="AW599" s="277"/>
      <c r="AX599" s="277"/>
      <c r="AY599" s="280"/>
      <c r="AZ599" s="268"/>
      <c r="BA599" s="268"/>
      <c r="BB599" s="13"/>
      <c r="BC599" s="36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</row>
    <row r="600" spans="1:73">
      <c r="A600" s="13"/>
      <c r="B600" s="13"/>
      <c r="C600" s="13"/>
      <c r="D600" s="13"/>
      <c r="E600" s="13"/>
      <c r="F600" s="13"/>
      <c r="G600" s="36"/>
      <c r="H600" s="36"/>
      <c r="I600" s="36"/>
      <c r="J600" s="36"/>
      <c r="K600" s="36"/>
      <c r="L600" s="36"/>
      <c r="M600" s="36"/>
      <c r="N600" s="13"/>
      <c r="O600" s="202"/>
      <c r="P600" s="36"/>
      <c r="Q600" s="52"/>
      <c r="R600" s="52"/>
      <c r="S600" s="52"/>
      <c r="U600" s="202"/>
      <c r="V600" s="202"/>
      <c r="W600" s="202"/>
      <c r="X600" s="202"/>
      <c r="Y600" s="13"/>
      <c r="Z600" s="36"/>
      <c r="AA600" s="13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289"/>
      <c r="AO600" s="289"/>
      <c r="AP600" s="289"/>
      <c r="AQ600" s="36"/>
      <c r="AR600" s="283"/>
      <c r="AS600" s="13"/>
      <c r="AT600" s="13"/>
      <c r="AU600" s="32"/>
      <c r="AV600" s="277"/>
      <c r="AW600" s="277"/>
      <c r="AX600" s="277"/>
      <c r="AY600" s="280"/>
      <c r="AZ600" s="268"/>
      <c r="BA600" s="268"/>
      <c r="BB600" s="13"/>
      <c r="BC600" s="36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</row>
    <row r="601" spans="1:73">
      <c r="A601" s="13"/>
      <c r="B601" s="13"/>
      <c r="C601" s="13"/>
      <c r="D601" s="13"/>
      <c r="E601" s="13"/>
      <c r="F601" s="13"/>
      <c r="G601" s="36"/>
      <c r="H601" s="36"/>
      <c r="I601" s="36"/>
      <c r="J601" s="36"/>
      <c r="K601" s="36"/>
      <c r="L601" s="36"/>
      <c r="M601" s="36"/>
      <c r="N601" s="13"/>
      <c r="O601" s="202"/>
      <c r="P601" s="36"/>
      <c r="Q601" s="52"/>
      <c r="R601" s="52"/>
      <c r="S601" s="52"/>
      <c r="U601" s="202"/>
      <c r="V601" s="202"/>
      <c r="W601" s="202"/>
      <c r="X601" s="202"/>
      <c r="Y601" s="13"/>
      <c r="Z601" s="36"/>
      <c r="AA601" s="13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289"/>
      <c r="AO601" s="289"/>
      <c r="AP601" s="289"/>
      <c r="AQ601" s="36"/>
      <c r="AR601" s="283"/>
      <c r="AS601" s="13"/>
      <c r="AT601" s="13"/>
      <c r="AU601" s="32"/>
      <c r="AV601" s="277"/>
      <c r="AW601" s="277"/>
      <c r="AX601" s="277"/>
      <c r="AY601" s="280"/>
      <c r="AZ601" s="268"/>
      <c r="BA601" s="268"/>
      <c r="BB601" s="13"/>
      <c r="BC601" s="36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</row>
    <row r="602" spans="1:73">
      <c r="A602" s="13"/>
      <c r="B602" s="13"/>
      <c r="C602" s="13"/>
      <c r="D602" s="13"/>
      <c r="E602" s="13"/>
      <c r="F602" s="13"/>
      <c r="G602" s="36"/>
      <c r="H602" s="36"/>
      <c r="I602" s="36"/>
      <c r="J602" s="36"/>
      <c r="K602" s="36"/>
      <c r="L602" s="36"/>
      <c r="M602" s="36"/>
      <c r="N602" s="13"/>
      <c r="O602" s="202"/>
      <c r="P602" s="36"/>
      <c r="Q602" s="52"/>
      <c r="R602" s="52"/>
      <c r="S602" s="52"/>
      <c r="U602" s="202"/>
      <c r="V602" s="202"/>
      <c r="W602" s="202"/>
      <c r="X602" s="202"/>
      <c r="Y602" s="13"/>
      <c r="Z602" s="36"/>
      <c r="AA602" s="13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289"/>
      <c r="AO602" s="289"/>
      <c r="AP602" s="289"/>
      <c r="AQ602" s="36"/>
      <c r="AR602" s="283"/>
      <c r="AS602" s="13"/>
      <c r="AT602" s="13"/>
      <c r="AU602" s="32"/>
      <c r="AV602" s="277"/>
      <c r="AW602" s="277"/>
      <c r="AX602" s="277"/>
      <c r="AY602" s="280"/>
      <c r="AZ602" s="268"/>
      <c r="BA602" s="268"/>
      <c r="BB602" s="13"/>
      <c r="BC602" s="36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</row>
    <row r="603" spans="1:73">
      <c r="A603" s="13"/>
      <c r="B603" s="13"/>
      <c r="C603" s="13"/>
      <c r="D603" s="13"/>
      <c r="E603" s="13"/>
      <c r="F603" s="13"/>
      <c r="G603" s="36"/>
      <c r="H603" s="36"/>
      <c r="I603" s="36"/>
      <c r="J603" s="36"/>
      <c r="K603" s="36"/>
      <c r="L603" s="36"/>
      <c r="M603" s="36"/>
      <c r="N603" s="13"/>
      <c r="O603" s="202"/>
      <c r="P603" s="36"/>
      <c r="Q603" s="52"/>
      <c r="R603" s="52"/>
      <c r="S603" s="52"/>
      <c r="U603" s="202"/>
      <c r="V603" s="202"/>
      <c r="W603" s="202"/>
      <c r="X603" s="202"/>
      <c r="Y603" s="13"/>
      <c r="Z603" s="36"/>
      <c r="AA603" s="13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289"/>
      <c r="AO603" s="289"/>
      <c r="AP603" s="289"/>
      <c r="AQ603" s="36"/>
      <c r="AR603" s="283"/>
      <c r="AS603" s="13"/>
      <c r="AT603" s="13"/>
      <c r="AU603" s="32"/>
      <c r="AV603" s="277"/>
      <c r="AW603" s="277"/>
      <c r="AX603" s="277"/>
      <c r="AY603" s="280"/>
      <c r="AZ603" s="268"/>
      <c r="BA603" s="268"/>
      <c r="BB603" s="13"/>
      <c r="BC603" s="36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</row>
    <row r="604" spans="1:73">
      <c r="A604" s="13"/>
      <c r="B604" s="13"/>
      <c r="C604" s="13"/>
      <c r="D604" s="13"/>
      <c r="E604" s="13"/>
      <c r="F604" s="13"/>
      <c r="G604" s="36"/>
      <c r="H604" s="36"/>
      <c r="I604" s="36"/>
      <c r="J604" s="36"/>
      <c r="K604" s="36"/>
      <c r="L604" s="36"/>
      <c r="M604" s="36"/>
      <c r="N604" s="13"/>
      <c r="O604" s="202"/>
      <c r="P604" s="36"/>
      <c r="Q604" s="52"/>
      <c r="R604" s="52"/>
      <c r="S604" s="52"/>
      <c r="U604" s="202"/>
      <c r="V604" s="202"/>
      <c r="W604" s="202"/>
      <c r="X604" s="202"/>
      <c r="Y604" s="13"/>
      <c r="Z604" s="36"/>
      <c r="AA604" s="13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289"/>
      <c r="AO604" s="289"/>
      <c r="AP604" s="289"/>
      <c r="AQ604" s="36"/>
      <c r="AR604" s="283"/>
      <c r="AS604" s="13"/>
      <c r="AT604" s="13"/>
      <c r="AU604" s="32"/>
      <c r="AV604" s="277"/>
      <c r="AW604" s="277"/>
      <c r="AX604" s="277"/>
      <c r="AY604" s="280"/>
      <c r="AZ604" s="268"/>
      <c r="BA604" s="268"/>
      <c r="BB604" s="13"/>
      <c r="BC604" s="36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</row>
    <row r="605" spans="1:73">
      <c r="A605" s="13"/>
      <c r="B605" s="13"/>
      <c r="C605" s="13"/>
      <c r="D605" s="13"/>
      <c r="E605" s="13"/>
      <c r="F605" s="13"/>
      <c r="G605" s="36"/>
      <c r="H605" s="36"/>
      <c r="I605" s="36"/>
      <c r="J605" s="36"/>
      <c r="K605" s="36"/>
      <c r="L605" s="36"/>
      <c r="M605" s="36"/>
      <c r="N605" s="13"/>
      <c r="O605" s="202"/>
      <c r="P605" s="36"/>
      <c r="Q605" s="52"/>
      <c r="R605" s="52"/>
      <c r="S605" s="52"/>
      <c r="U605" s="202"/>
      <c r="V605" s="202"/>
      <c r="W605" s="202"/>
      <c r="X605" s="202"/>
      <c r="Y605" s="13"/>
      <c r="Z605" s="36"/>
      <c r="AA605" s="13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289"/>
      <c r="AO605" s="289"/>
      <c r="AP605" s="289"/>
      <c r="AQ605" s="36"/>
      <c r="AR605" s="283"/>
      <c r="AS605" s="13"/>
      <c r="AT605" s="13"/>
      <c r="AU605" s="32"/>
      <c r="AV605" s="277"/>
      <c r="AW605" s="277"/>
      <c r="AX605" s="277"/>
      <c r="AY605" s="280"/>
      <c r="AZ605" s="268"/>
      <c r="BA605" s="268"/>
      <c r="BB605" s="13"/>
      <c r="BC605" s="36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</row>
    <row r="606" spans="1:73">
      <c r="A606" s="13"/>
      <c r="B606" s="13"/>
      <c r="C606" s="13"/>
      <c r="D606" s="13"/>
      <c r="E606" s="13"/>
      <c r="F606" s="13"/>
      <c r="G606" s="36"/>
      <c r="H606" s="36"/>
      <c r="I606" s="36"/>
      <c r="J606" s="36"/>
      <c r="K606" s="36"/>
      <c r="L606" s="36"/>
      <c r="M606" s="36"/>
      <c r="N606" s="13"/>
      <c r="O606" s="202"/>
      <c r="P606" s="36"/>
      <c r="Q606" s="52"/>
      <c r="R606" s="52"/>
      <c r="S606" s="52"/>
      <c r="U606" s="202"/>
      <c r="V606" s="202"/>
      <c r="W606" s="202"/>
      <c r="X606" s="202"/>
      <c r="Y606" s="13"/>
      <c r="Z606" s="36"/>
      <c r="AA606" s="13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289"/>
      <c r="AO606" s="289"/>
      <c r="AP606" s="289"/>
      <c r="AQ606" s="36"/>
      <c r="AR606" s="283"/>
      <c r="AS606" s="13"/>
      <c r="AT606" s="13"/>
      <c r="AU606" s="32"/>
      <c r="AV606" s="277"/>
      <c r="AW606" s="277"/>
      <c r="AX606" s="277"/>
      <c r="AY606" s="280"/>
      <c r="AZ606" s="268"/>
      <c r="BA606" s="268"/>
      <c r="BB606" s="13"/>
      <c r="BC606" s="36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</row>
    <row r="607" spans="1:73">
      <c r="A607" s="13"/>
      <c r="B607" s="13"/>
      <c r="C607" s="13"/>
      <c r="D607" s="13"/>
      <c r="E607" s="13"/>
      <c r="F607" s="13"/>
      <c r="G607" s="36"/>
      <c r="H607" s="36"/>
      <c r="I607" s="36"/>
      <c r="J607" s="36"/>
      <c r="K607" s="36"/>
      <c r="L607" s="36"/>
      <c r="M607" s="36"/>
      <c r="N607" s="13"/>
      <c r="O607" s="202"/>
      <c r="P607" s="36"/>
      <c r="Q607" s="52"/>
      <c r="R607" s="52"/>
      <c r="S607" s="52"/>
      <c r="U607" s="202"/>
      <c r="V607" s="202"/>
      <c r="W607" s="202"/>
      <c r="X607" s="202"/>
      <c r="Y607" s="13"/>
      <c r="Z607" s="36"/>
      <c r="AA607" s="13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289"/>
      <c r="AO607" s="289"/>
      <c r="AP607" s="289"/>
      <c r="AQ607" s="36"/>
      <c r="AR607" s="283"/>
      <c r="AS607" s="13"/>
      <c r="AT607" s="13"/>
      <c r="AU607" s="32"/>
      <c r="AV607" s="277"/>
      <c r="AW607" s="277"/>
      <c r="AX607" s="277"/>
      <c r="AY607" s="280"/>
      <c r="AZ607" s="268"/>
      <c r="BA607" s="268"/>
      <c r="BB607" s="13"/>
      <c r="BC607" s="36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</row>
    <row r="608" spans="1:73">
      <c r="A608" s="13"/>
      <c r="B608" s="13"/>
      <c r="C608" s="13"/>
      <c r="D608" s="13"/>
      <c r="E608" s="13"/>
      <c r="F608" s="13"/>
      <c r="G608" s="36"/>
      <c r="H608" s="36"/>
      <c r="I608" s="36"/>
      <c r="J608" s="36"/>
      <c r="K608" s="36"/>
      <c r="L608" s="36"/>
      <c r="M608" s="36"/>
      <c r="N608" s="13"/>
      <c r="O608" s="202"/>
      <c r="P608" s="36"/>
      <c r="Q608" s="52"/>
      <c r="R608" s="52"/>
      <c r="S608" s="52"/>
      <c r="U608" s="202"/>
      <c r="V608" s="202"/>
      <c r="W608" s="202"/>
      <c r="X608" s="202"/>
      <c r="Y608" s="13"/>
      <c r="Z608" s="36"/>
      <c r="AA608" s="13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289"/>
      <c r="AO608" s="289"/>
      <c r="AP608" s="289"/>
      <c r="AQ608" s="36"/>
      <c r="AR608" s="283"/>
      <c r="AS608" s="13"/>
      <c r="AT608" s="13"/>
      <c r="AU608" s="32"/>
      <c r="AV608" s="277"/>
      <c r="AW608" s="277"/>
      <c r="AX608" s="277"/>
      <c r="AY608" s="280"/>
      <c r="AZ608" s="268"/>
      <c r="BA608" s="268"/>
      <c r="BB608" s="13"/>
      <c r="BC608" s="36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</row>
    <row r="609" spans="1:73">
      <c r="A609" s="13"/>
      <c r="B609" s="13"/>
      <c r="C609" s="13"/>
      <c r="D609" s="13"/>
      <c r="E609" s="13"/>
      <c r="F609" s="13"/>
      <c r="G609" s="36"/>
      <c r="H609" s="36"/>
      <c r="I609" s="36"/>
      <c r="J609" s="36"/>
      <c r="K609" s="36"/>
      <c r="L609" s="36"/>
      <c r="M609" s="36"/>
      <c r="N609" s="13"/>
      <c r="O609" s="202"/>
      <c r="P609" s="36"/>
      <c r="Q609" s="52"/>
      <c r="R609" s="52"/>
      <c r="S609" s="52"/>
      <c r="U609" s="202"/>
      <c r="V609" s="202"/>
      <c r="W609" s="202"/>
      <c r="X609" s="202"/>
      <c r="Y609" s="13"/>
      <c r="Z609" s="36"/>
      <c r="AA609" s="13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289"/>
      <c r="AO609" s="289"/>
      <c r="AP609" s="289"/>
      <c r="AQ609" s="36"/>
      <c r="AR609" s="283"/>
      <c r="AS609" s="13"/>
      <c r="AT609" s="13"/>
      <c r="AU609" s="32"/>
      <c r="AV609" s="277"/>
      <c r="AW609" s="277"/>
      <c r="AX609" s="277"/>
      <c r="AY609" s="280"/>
      <c r="AZ609" s="268"/>
      <c r="BA609" s="268"/>
      <c r="BB609" s="13"/>
      <c r="BC609" s="36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</row>
    <row r="610" spans="1:73">
      <c r="A610" s="13"/>
      <c r="B610" s="13"/>
      <c r="C610" s="13"/>
      <c r="D610" s="13"/>
      <c r="E610" s="13"/>
      <c r="F610" s="13"/>
      <c r="G610" s="36"/>
      <c r="H610" s="36"/>
      <c r="I610" s="36"/>
      <c r="J610" s="36"/>
      <c r="K610" s="36"/>
      <c r="L610" s="36"/>
      <c r="M610" s="36"/>
      <c r="N610" s="13"/>
      <c r="O610" s="202"/>
      <c r="P610" s="36"/>
      <c r="Q610" s="52"/>
      <c r="R610" s="52"/>
      <c r="S610" s="52"/>
      <c r="U610" s="202"/>
      <c r="V610" s="202"/>
      <c r="W610" s="202"/>
      <c r="X610" s="202"/>
      <c r="Y610" s="13"/>
      <c r="Z610" s="36"/>
      <c r="AA610" s="13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289"/>
      <c r="AO610" s="289"/>
      <c r="AP610" s="289"/>
      <c r="AQ610" s="36"/>
      <c r="AR610" s="283"/>
      <c r="AS610" s="13"/>
      <c r="AT610" s="13"/>
      <c r="AU610" s="32"/>
      <c r="AV610" s="277"/>
      <c r="AW610" s="277"/>
      <c r="AX610" s="277"/>
      <c r="AY610" s="280"/>
      <c r="AZ610" s="268"/>
      <c r="BA610" s="268"/>
      <c r="BB610" s="13"/>
      <c r="BC610" s="36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</row>
    <row r="611" spans="1:73">
      <c r="A611" s="13"/>
      <c r="B611" s="13"/>
      <c r="C611" s="13"/>
      <c r="D611" s="13"/>
      <c r="E611" s="13"/>
      <c r="F611" s="13"/>
      <c r="G611" s="36"/>
      <c r="H611" s="36"/>
      <c r="I611" s="36"/>
      <c r="J611" s="36"/>
      <c r="K611" s="36"/>
      <c r="L611" s="36"/>
      <c r="M611" s="36"/>
      <c r="N611" s="13"/>
      <c r="O611" s="202"/>
      <c r="P611" s="36"/>
      <c r="Q611" s="52"/>
      <c r="R611" s="52"/>
      <c r="S611" s="52"/>
      <c r="U611" s="202"/>
      <c r="V611" s="202"/>
      <c r="W611" s="202"/>
      <c r="X611" s="202"/>
      <c r="Y611" s="13"/>
      <c r="Z611" s="36"/>
      <c r="AA611" s="13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289"/>
      <c r="AO611" s="289"/>
      <c r="AP611" s="289"/>
      <c r="AQ611" s="36"/>
      <c r="AR611" s="283"/>
      <c r="AS611" s="13"/>
      <c r="AT611" s="13"/>
      <c r="AU611" s="32"/>
      <c r="AV611" s="277"/>
      <c r="AW611" s="277"/>
      <c r="AX611" s="277"/>
      <c r="AY611" s="280"/>
      <c r="AZ611" s="268"/>
      <c r="BA611" s="268"/>
      <c r="BB611" s="13"/>
      <c r="BC611" s="36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</row>
    <row r="612" spans="1:73">
      <c r="A612" s="13"/>
      <c r="B612" s="13"/>
      <c r="C612" s="13"/>
      <c r="D612" s="13"/>
      <c r="E612" s="13"/>
      <c r="F612" s="13"/>
      <c r="G612" s="36"/>
      <c r="H612" s="36"/>
      <c r="I612" s="36"/>
      <c r="J612" s="36"/>
      <c r="K612" s="36"/>
      <c r="L612" s="36"/>
      <c r="M612" s="36"/>
      <c r="N612" s="13"/>
      <c r="O612" s="202"/>
      <c r="P612" s="36"/>
      <c r="Q612" s="52"/>
      <c r="R612" s="52"/>
      <c r="S612" s="52"/>
      <c r="U612" s="202"/>
      <c r="V612" s="202"/>
      <c r="W612" s="202"/>
      <c r="X612" s="202"/>
      <c r="Y612" s="13"/>
      <c r="Z612" s="36"/>
      <c r="AA612" s="13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289"/>
      <c r="AO612" s="289"/>
      <c r="AP612" s="289"/>
      <c r="AQ612" s="36"/>
      <c r="AR612" s="283"/>
      <c r="AS612" s="13"/>
      <c r="AT612" s="13"/>
      <c r="AU612" s="32"/>
      <c r="AV612" s="277"/>
      <c r="AW612" s="277"/>
      <c r="AX612" s="277"/>
      <c r="AY612" s="280"/>
      <c r="AZ612" s="268"/>
      <c r="BA612" s="268"/>
      <c r="BB612" s="13"/>
      <c r="BC612" s="36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</row>
    <row r="613" spans="1:73">
      <c r="A613" s="13"/>
      <c r="B613" s="13"/>
      <c r="C613" s="13"/>
      <c r="D613" s="13"/>
      <c r="E613" s="13"/>
      <c r="F613" s="13"/>
      <c r="G613" s="36"/>
      <c r="H613" s="36"/>
      <c r="I613" s="36"/>
      <c r="J613" s="36"/>
      <c r="K613" s="36"/>
      <c r="L613" s="36"/>
      <c r="M613" s="36"/>
      <c r="N613" s="13"/>
      <c r="O613" s="202"/>
      <c r="P613" s="36"/>
      <c r="Q613" s="52"/>
      <c r="R613" s="52"/>
      <c r="S613" s="52"/>
      <c r="U613" s="202"/>
      <c r="V613" s="202"/>
      <c r="W613" s="202"/>
      <c r="X613" s="202"/>
      <c r="Y613" s="13"/>
      <c r="Z613" s="36"/>
      <c r="AA613" s="13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289"/>
      <c r="AO613" s="289"/>
      <c r="AP613" s="289"/>
      <c r="AQ613" s="36"/>
      <c r="AR613" s="283"/>
      <c r="AS613" s="13"/>
      <c r="AT613" s="13"/>
      <c r="AU613" s="32"/>
      <c r="AV613" s="277"/>
      <c r="AW613" s="277"/>
      <c r="AX613" s="277"/>
      <c r="AY613" s="280"/>
      <c r="AZ613" s="268"/>
      <c r="BA613" s="268"/>
      <c r="BB613" s="13"/>
      <c r="BC613" s="36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</row>
    <row r="614" spans="1:73">
      <c r="A614" s="13"/>
      <c r="B614" s="13"/>
      <c r="C614" s="13"/>
      <c r="D614" s="13"/>
      <c r="E614" s="13"/>
      <c r="F614" s="13"/>
      <c r="G614" s="36"/>
      <c r="H614" s="36"/>
      <c r="I614" s="36"/>
      <c r="J614" s="36"/>
      <c r="K614" s="36"/>
      <c r="L614" s="36"/>
      <c r="M614" s="36"/>
      <c r="N614" s="13"/>
      <c r="O614" s="202"/>
      <c r="P614" s="36"/>
      <c r="Q614" s="52"/>
      <c r="R614" s="52"/>
      <c r="S614" s="52"/>
      <c r="U614" s="202"/>
      <c r="V614" s="202"/>
      <c r="W614" s="202"/>
      <c r="X614" s="202"/>
      <c r="Y614" s="13"/>
      <c r="Z614" s="36"/>
      <c r="AA614" s="13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289"/>
      <c r="AO614" s="289"/>
      <c r="AP614" s="289"/>
      <c r="AQ614" s="36"/>
      <c r="AR614" s="283"/>
      <c r="AS614" s="13"/>
      <c r="AT614" s="13"/>
      <c r="AU614" s="32"/>
      <c r="AV614" s="277"/>
      <c r="AW614" s="277"/>
      <c r="AX614" s="277"/>
      <c r="AY614" s="280"/>
      <c r="AZ614" s="268"/>
      <c r="BA614" s="268"/>
      <c r="BB614" s="13"/>
      <c r="BC614" s="36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</row>
    <row r="615" spans="1:73">
      <c r="A615" s="13"/>
      <c r="B615" s="13"/>
      <c r="C615" s="13"/>
      <c r="D615" s="13"/>
      <c r="E615" s="13"/>
      <c r="F615" s="13"/>
      <c r="G615" s="36"/>
      <c r="H615" s="36"/>
      <c r="I615" s="36"/>
      <c r="J615" s="36"/>
      <c r="K615" s="36"/>
      <c r="L615" s="36"/>
      <c r="M615" s="36"/>
      <c r="N615" s="13"/>
      <c r="O615" s="202"/>
      <c r="P615" s="36"/>
      <c r="Q615" s="52"/>
      <c r="R615" s="52"/>
      <c r="S615" s="52"/>
      <c r="U615" s="202"/>
      <c r="V615" s="202"/>
      <c r="W615" s="202"/>
      <c r="X615" s="202"/>
      <c r="Y615" s="13"/>
      <c r="Z615" s="36"/>
      <c r="AA615" s="13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289"/>
      <c r="AO615" s="289"/>
      <c r="AP615" s="289"/>
      <c r="AQ615" s="36"/>
      <c r="AR615" s="283"/>
      <c r="AS615" s="13"/>
      <c r="AT615" s="13"/>
      <c r="AU615" s="32"/>
      <c r="AV615" s="277"/>
      <c r="AW615" s="277"/>
      <c r="AX615" s="277"/>
      <c r="AY615" s="280"/>
      <c r="AZ615" s="268"/>
      <c r="BA615" s="268"/>
      <c r="BB615" s="13"/>
      <c r="BC615" s="36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</row>
    <row r="616" spans="1:73">
      <c r="A616" s="13"/>
      <c r="B616" s="13"/>
      <c r="C616" s="13"/>
      <c r="D616" s="13"/>
      <c r="E616" s="13"/>
      <c r="F616" s="13"/>
      <c r="G616" s="36"/>
      <c r="H616" s="36"/>
      <c r="I616" s="36"/>
      <c r="J616" s="36"/>
      <c r="K616" s="36"/>
      <c r="L616" s="36"/>
      <c r="M616" s="36"/>
      <c r="N616" s="13"/>
      <c r="O616" s="202"/>
      <c r="P616" s="36"/>
      <c r="Q616" s="52"/>
      <c r="R616" s="52"/>
      <c r="S616" s="52"/>
      <c r="U616" s="202"/>
      <c r="V616" s="202"/>
      <c r="W616" s="202"/>
      <c r="X616" s="202"/>
      <c r="Y616" s="13"/>
      <c r="Z616" s="36"/>
      <c r="AA616" s="13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289"/>
      <c r="AO616" s="289"/>
      <c r="AP616" s="289"/>
      <c r="AQ616" s="36"/>
      <c r="AR616" s="283"/>
      <c r="AS616" s="13"/>
      <c r="AT616" s="13"/>
      <c r="AU616" s="32"/>
      <c r="AV616" s="277"/>
      <c r="AW616" s="277"/>
      <c r="AX616" s="277"/>
      <c r="AY616" s="280"/>
      <c r="AZ616" s="268"/>
      <c r="BA616" s="268"/>
      <c r="BB616" s="13"/>
      <c r="BC616" s="36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</row>
    <row r="617" spans="1:73">
      <c r="A617" s="13"/>
      <c r="B617" s="13"/>
      <c r="C617" s="13"/>
      <c r="D617" s="13"/>
      <c r="E617" s="13"/>
      <c r="F617" s="13"/>
      <c r="G617" s="36"/>
      <c r="H617" s="36"/>
      <c r="I617" s="36"/>
      <c r="J617" s="36"/>
      <c r="K617" s="36"/>
      <c r="L617" s="36"/>
      <c r="M617" s="36"/>
      <c r="N617" s="13"/>
      <c r="O617" s="202"/>
      <c r="P617" s="36"/>
      <c r="Q617" s="52"/>
      <c r="R617" s="52"/>
      <c r="S617" s="52"/>
      <c r="U617" s="202"/>
      <c r="V617" s="202"/>
      <c r="W617" s="202"/>
      <c r="X617" s="202"/>
      <c r="Y617" s="13"/>
      <c r="Z617" s="36"/>
      <c r="AA617" s="13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289"/>
      <c r="AO617" s="289"/>
      <c r="AP617" s="289"/>
      <c r="AQ617" s="36"/>
      <c r="AR617" s="283"/>
      <c r="AS617" s="13"/>
      <c r="AT617" s="13"/>
      <c r="AU617" s="32"/>
      <c r="AV617" s="277"/>
      <c r="AW617" s="277"/>
      <c r="AX617" s="277"/>
      <c r="AY617" s="280"/>
      <c r="AZ617" s="268"/>
      <c r="BA617" s="268"/>
      <c r="BB617" s="13"/>
      <c r="BC617" s="36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</row>
    <row r="618" spans="1:73">
      <c r="A618" s="13"/>
      <c r="B618" s="13"/>
      <c r="C618" s="13"/>
      <c r="D618" s="13"/>
      <c r="E618" s="13"/>
      <c r="F618" s="13"/>
      <c r="G618" s="36"/>
      <c r="H618" s="36"/>
      <c r="I618" s="36"/>
      <c r="J618" s="36"/>
      <c r="K618" s="36"/>
      <c r="L618" s="36"/>
      <c r="M618" s="36"/>
      <c r="N618" s="13"/>
      <c r="O618" s="202"/>
      <c r="P618" s="36"/>
      <c r="Q618" s="52"/>
      <c r="R618" s="52"/>
      <c r="S618" s="52"/>
      <c r="U618" s="202"/>
      <c r="V618" s="202"/>
      <c r="W618" s="202"/>
      <c r="X618" s="202"/>
      <c r="Y618" s="13"/>
      <c r="Z618" s="36"/>
      <c r="AA618" s="13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289"/>
      <c r="AO618" s="289"/>
      <c r="AP618" s="289"/>
      <c r="AQ618" s="36"/>
      <c r="AR618" s="283"/>
      <c r="AS618" s="13"/>
      <c r="AT618" s="13"/>
      <c r="AU618" s="32"/>
      <c r="AV618" s="277"/>
      <c r="AW618" s="277"/>
      <c r="AX618" s="277"/>
      <c r="AY618" s="280"/>
      <c r="AZ618" s="268"/>
      <c r="BA618" s="268"/>
      <c r="BB618" s="13"/>
      <c r="BC618" s="36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</row>
    <row r="619" spans="1:73">
      <c r="A619" s="13"/>
      <c r="B619" s="13"/>
      <c r="C619" s="13"/>
      <c r="D619" s="13"/>
      <c r="E619" s="13"/>
      <c r="F619" s="13"/>
      <c r="G619" s="36"/>
      <c r="H619" s="36"/>
      <c r="I619" s="36"/>
      <c r="J619" s="36"/>
      <c r="K619" s="36"/>
      <c r="L619" s="36"/>
      <c r="M619" s="36"/>
      <c r="N619" s="13"/>
      <c r="O619" s="202"/>
      <c r="P619" s="36"/>
      <c r="Q619" s="52"/>
      <c r="R619" s="52"/>
      <c r="S619" s="52"/>
      <c r="U619" s="202"/>
      <c r="V619" s="202"/>
      <c r="W619" s="202"/>
      <c r="X619" s="202"/>
      <c r="Y619" s="13"/>
      <c r="Z619" s="36"/>
      <c r="AA619" s="13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289"/>
      <c r="AO619" s="289"/>
      <c r="AP619" s="289"/>
      <c r="AQ619" s="36"/>
      <c r="AR619" s="283"/>
      <c r="AS619" s="13"/>
      <c r="AT619" s="13"/>
      <c r="AU619" s="32"/>
      <c r="AV619" s="277"/>
      <c r="AW619" s="277"/>
      <c r="AX619" s="277"/>
      <c r="AY619" s="280"/>
      <c r="AZ619" s="268"/>
      <c r="BA619" s="268"/>
      <c r="BB619" s="13"/>
      <c r="BC619" s="36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</row>
    <row r="620" spans="1:73">
      <c r="A620" s="13"/>
      <c r="B620" s="13"/>
      <c r="C620" s="13"/>
      <c r="D620" s="13"/>
      <c r="E620" s="13"/>
      <c r="F620" s="13"/>
      <c r="G620" s="36"/>
      <c r="H620" s="36"/>
      <c r="I620" s="36"/>
      <c r="J620" s="36"/>
      <c r="K620" s="36"/>
      <c r="L620" s="36"/>
      <c r="M620" s="36"/>
      <c r="N620" s="13"/>
      <c r="O620" s="202"/>
      <c r="P620" s="36"/>
      <c r="Q620" s="52"/>
      <c r="R620" s="52"/>
      <c r="S620" s="52"/>
      <c r="U620" s="202"/>
      <c r="V620" s="202"/>
      <c r="W620" s="202"/>
      <c r="X620" s="202"/>
      <c r="Y620" s="13"/>
      <c r="Z620" s="36"/>
      <c r="AA620" s="13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289"/>
      <c r="AO620" s="289"/>
      <c r="AP620" s="289"/>
      <c r="AQ620" s="36"/>
      <c r="AR620" s="283"/>
      <c r="AS620" s="13"/>
      <c r="AT620" s="13"/>
      <c r="AU620" s="32"/>
      <c r="AV620" s="277"/>
      <c r="AW620" s="277"/>
      <c r="AX620" s="277"/>
      <c r="AY620" s="280"/>
      <c r="AZ620" s="268"/>
      <c r="BA620" s="268"/>
      <c r="BB620" s="13"/>
      <c r="BC620" s="36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</row>
    <row r="621" spans="1:73">
      <c r="A621" s="13"/>
      <c r="B621" s="13"/>
      <c r="C621" s="13"/>
      <c r="D621" s="13"/>
      <c r="E621" s="13"/>
      <c r="F621" s="13"/>
      <c r="G621" s="36"/>
      <c r="H621" s="36"/>
      <c r="I621" s="36"/>
      <c r="J621" s="36"/>
      <c r="K621" s="36"/>
      <c r="L621" s="36"/>
      <c r="M621" s="36"/>
      <c r="N621" s="13"/>
      <c r="O621" s="202"/>
      <c r="P621" s="36"/>
      <c r="Q621" s="52"/>
      <c r="R621" s="52"/>
      <c r="S621" s="52"/>
      <c r="U621" s="202"/>
      <c r="V621" s="202"/>
      <c r="W621" s="202"/>
      <c r="X621" s="202"/>
      <c r="Y621" s="13"/>
      <c r="Z621" s="36"/>
      <c r="AA621" s="13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289"/>
      <c r="AO621" s="289"/>
      <c r="AP621" s="289"/>
      <c r="AQ621" s="36"/>
      <c r="AR621" s="283"/>
      <c r="AS621" s="13"/>
      <c r="AT621" s="13"/>
      <c r="AU621" s="32"/>
      <c r="AV621" s="277"/>
      <c r="AW621" s="277"/>
      <c r="AX621" s="277"/>
      <c r="AY621" s="280"/>
      <c r="AZ621" s="268"/>
      <c r="BA621" s="268"/>
      <c r="BB621" s="13"/>
      <c r="BC621" s="36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</row>
    <row r="622" spans="1:73">
      <c r="A622" s="13"/>
      <c r="B622" s="13"/>
      <c r="C622" s="13"/>
      <c r="D622" s="13"/>
      <c r="E622" s="13"/>
      <c r="F622" s="13"/>
      <c r="G622" s="36"/>
      <c r="H622" s="36"/>
      <c r="I622" s="36"/>
      <c r="J622" s="36"/>
      <c r="K622" s="36"/>
      <c r="L622" s="36"/>
      <c r="M622" s="36"/>
      <c r="N622" s="13"/>
      <c r="O622" s="202"/>
      <c r="P622" s="36"/>
      <c r="Q622" s="52"/>
      <c r="R622" s="52"/>
      <c r="S622" s="52"/>
      <c r="U622" s="202"/>
      <c r="V622" s="202"/>
      <c r="W622" s="202"/>
      <c r="X622" s="202"/>
      <c r="Y622" s="13"/>
      <c r="Z622" s="36"/>
      <c r="AA622" s="13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289"/>
      <c r="AO622" s="289"/>
      <c r="AP622" s="289"/>
      <c r="AQ622" s="36"/>
      <c r="AR622" s="283"/>
      <c r="AS622" s="13"/>
      <c r="AT622" s="13"/>
      <c r="AU622" s="32"/>
      <c r="AV622" s="277"/>
      <c r="AW622" s="277"/>
      <c r="AX622" s="277"/>
      <c r="AY622" s="280"/>
      <c r="AZ622" s="268"/>
      <c r="BA622" s="268"/>
      <c r="BB622" s="13"/>
      <c r="BC622" s="36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</row>
    <row r="623" spans="1:73">
      <c r="A623" s="13"/>
      <c r="B623" s="13"/>
      <c r="C623" s="13"/>
      <c r="D623" s="13"/>
      <c r="E623" s="13"/>
      <c r="F623" s="13"/>
      <c r="G623" s="36"/>
      <c r="H623" s="36"/>
      <c r="I623" s="36"/>
      <c r="J623" s="36"/>
      <c r="K623" s="36"/>
      <c r="L623" s="36"/>
      <c r="M623" s="36"/>
      <c r="N623" s="13"/>
      <c r="O623" s="202"/>
      <c r="P623" s="36"/>
      <c r="Q623" s="52"/>
      <c r="R623" s="52"/>
      <c r="S623" s="52"/>
      <c r="U623" s="202"/>
      <c r="V623" s="202"/>
      <c r="W623" s="202"/>
      <c r="X623" s="202"/>
      <c r="Y623" s="13"/>
      <c r="Z623" s="36"/>
      <c r="AA623" s="13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289"/>
      <c r="AO623" s="289"/>
      <c r="AP623" s="289"/>
      <c r="AQ623" s="36"/>
      <c r="AR623" s="283"/>
      <c r="AS623" s="13"/>
      <c r="AT623" s="13"/>
      <c r="AU623" s="32"/>
      <c r="AV623" s="277"/>
      <c r="AW623" s="277"/>
      <c r="AX623" s="277"/>
      <c r="AY623" s="280"/>
      <c r="AZ623" s="268"/>
      <c r="BA623" s="268"/>
      <c r="BB623" s="13"/>
      <c r="BC623" s="36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</row>
    <row r="624" spans="1:73">
      <c r="A624" s="13"/>
      <c r="B624" s="13"/>
      <c r="C624" s="13"/>
      <c r="D624" s="13"/>
      <c r="E624" s="13"/>
      <c r="F624" s="13"/>
      <c r="G624" s="36"/>
      <c r="H624" s="36"/>
      <c r="I624" s="36"/>
      <c r="J624" s="36"/>
      <c r="K624" s="36"/>
      <c r="L624" s="36"/>
      <c r="M624" s="36"/>
      <c r="N624" s="13"/>
      <c r="O624" s="202"/>
      <c r="P624" s="36"/>
      <c r="Q624" s="52"/>
      <c r="R624" s="52"/>
      <c r="S624" s="52"/>
      <c r="U624" s="202"/>
      <c r="V624" s="202"/>
      <c r="W624" s="202"/>
      <c r="X624" s="202"/>
      <c r="Y624" s="13"/>
      <c r="Z624" s="36"/>
      <c r="AA624" s="13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289"/>
      <c r="AO624" s="289"/>
      <c r="AP624" s="289"/>
      <c r="AQ624" s="36"/>
      <c r="AR624" s="283"/>
      <c r="AS624" s="13"/>
      <c r="AT624" s="13"/>
      <c r="AU624" s="32"/>
      <c r="AV624" s="277"/>
      <c r="AW624" s="277"/>
      <c r="AX624" s="277"/>
      <c r="AY624" s="280"/>
      <c r="AZ624" s="268"/>
      <c r="BA624" s="268"/>
      <c r="BB624" s="13"/>
      <c r="BC624" s="36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</row>
    <row r="625" spans="1:73">
      <c r="A625" s="13"/>
      <c r="B625" s="13"/>
      <c r="C625" s="13"/>
      <c r="D625" s="13"/>
      <c r="E625" s="13"/>
      <c r="F625" s="13"/>
      <c r="G625" s="36"/>
      <c r="H625" s="36"/>
      <c r="I625" s="36"/>
      <c r="J625" s="36"/>
      <c r="K625" s="36"/>
      <c r="L625" s="36"/>
      <c r="M625" s="36"/>
      <c r="N625" s="13"/>
      <c r="O625" s="202"/>
      <c r="P625" s="36"/>
      <c r="Q625" s="52"/>
      <c r="R625" s="52"/>
      <c r="S625" s="52"/>
      <c r="U625" s="202"/>
      <c r="V625" s="202"/>
      <c r="W625" s="202"/>
      <c r="X625" s="202"/>
      <c r="Y625" s="13"/>
      <c r="Z625" s="36"/>
      <c r="AA625" s="13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289"/>
      <c r="AO625" s="289"/>
      <c r="AP625" s="289"/>
      <c r="AQ625" s="36"/>
      <c r="AR625" s="283"/>
      <c r="AS625" s="13"/>
      <c r="AT625" s="13"/>
      <c r="AU625" s="32"/>
      <c r="AV625" s="277"/>
      <c r="AW625" s="277"/>
      <c r="AX625" s="277"/>
      <c r="AY625" s="280"/>
      <c r="AZ625" s="268"/>
      <c r="BA625" s="268"/>
      <c r="BB625" s="13"/>
      <c r="BC625" s="36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</row>
    <row r="626" spans="1:73">
      <c r="A626" s="13"/>
      <c r="B626" s="13"/>
      <c r="C626" s="13"/>
      <c r="D626" s="13"/>
      <c r="E626" s="13"/>
      <c r="F626" s="13"/>
      <c r="G626" s="36"/>
      <c r="H626" s="36"/>
      <c r="I626" s="36"/>
      <c r="J626" s="36"/>
      <c r="K626" s="36"/>
      <c r="L626" s="36"/>
      <c r="M626" s="36"/>
      <c r="N626" s="13"/>
      <c r="O626" s="202"/>
      <c r="P626" s="36"/>
      <c r="Q626" s="52"/>
      <c r="R626" s="52"/>
      <c r="S626" s="52"/>
      <c r="U626" s="202"/>
      <c r="V626" s="202"/>
      <c r="W626" s="202"/>
      <c r="X626" s="202"/>
      <c r="Y626" s="13"/>
      <c r="Z626" s="36"/>
      <c r="AA626" s="13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289"/>
      <c r="AO626" s="289"/>
      <c r="AP626" s="289"/>
      <c r="AQ626" s="36"/>
      <c r="AR626" s="283"/>
      <c r="AS626" s="13"/>
      <c r="AT626" s="13"/>
      <c r="AU626" s="32"/>
      <c r="AV626" s="277"/>
      <c r="AW626" s="277"/>
      <c r="AX626" s="277"/>
      <c r="AY626" s="280"/>
      <c r="AZ626" s="268"/>
      <c r="BA626" s="268"/>
      <c r="BB626" s="13"/>
      <c r="BC626" s="36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</row>
    <row r="627" spans="1:73">
      <c r="A627" s="13"/>
      <c r="B627" s="13"/>
      <c r="C627" s="13"/>
      <c r="D627" s="13"/>
      <c r="E627" s="13"/>
      <c r="F627" s="13"/>
      <c r="G627" s="36"/>
      <c r="H627" s="36"/>
      <c r="I627" s="36"/>
      <c r="J627" s="36"/>
      <c r="K627" s="36"/>
      <c r="L627" s="36"/>
      <c r="M627" s="36"/>
      <c r="N627" s="13"/>
      <c r="O627" s="202"/>
      <c r="P627" s="36"/>
      <c r="Q627" s="52"/>
      <c r="R627" s="52"/>
      <c r="S627" s="52"/>
      <c r="U627" s="202"/>
      <c r="V627" s="202"/>
      <c r="W627" s="202"/>
      <c r="X627" s="202"/>
      <c r="Y627" s="13"/>
      <c r="Z627" s="36"/>
      <c r="AA627" s="13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289"/>
      <c r="AO627" s="289"/>
      <c r="AP627" s="289"/>
      <c r="AQ627" s="36"/>
      <c r="AR627" s="283"/>
      <c r="AS627" s="13"/>
      <c r="AT627" s="13"/>
      <c r="AU627" s="32"/>
      <c r="AV627" s="277"/>
      <c r="AW627" s="277"/>
      <c r="AX627" s="277"/>
      <c r="AY627" s="280"/>
      <c r="AZ627" s="268"/>
      <c r="BA627" s="268"/>
      <c r="BB627" s="13"/>
      <c r="BC627" s="36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</row>
    <row r="628" spans="1:73">
      <c r="A628" s="13"/>
      <c r="B628" s="13"/>
      <c r="C628" s="13"/>
      <c r="D628" s="13"/>
      <c r="E628" s="13"/>
      <c r="F628" s="13"/>
      <c r="G628" s="36"/>
      <c r="H628" s="36"/>
      <c r="I628" s="36"/>
      <c r="J628" s="36"/>
      <c r="K628" s="36"/>
      <c r="L628" s="36"/>
      <c r="M628" s="36"/>
      <c r="N628" s="13"/>
      <c r="O628" s="202"/>
      <c r="P628" s="36"/>
      <c r="Q628" s="52"/>
      <c r="R628" s="52"/>
      <c r="S628" s="52"/>
      <c r="U628" s="202"/>
      <c r="V628" s="202"/>
      <c r="W628" s="202"/>
      <c r="X628" s="202"/>
      <c r="Y628" s="13"/>
      <c r="Z628" s="36"/>
      <c r="AA628" s="13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289"/>
      <c r="AO628" s="289"/>
      <c r="AP628" s="289"/>
      <c r="AQ628" s="36"/>
      <c r="AR628" s="283"/>
      <c r="AS628" s="13"/>
      <c r="AT628" s="13"/>
      <c r="AU628" s="32"/>
      <c r="AV628" s="277"/>
      <c r="AW628" s="277"/>
      <c r="AX628" s="277"/>
      <c r="AY628" s="280"/>
      <c r="AZ628" s="268"/>
      <c r="BA628" s="268"/>
      <c r="BB628" s="13"/>
      <c r="BC628" s="36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</row>
    <row r="629" spans="1:73">
      <c r="A629" s="13"/>
      <c r="B629" s="13"/>
      <c r="C629" s="13"/>
      <c r="D629" s="13"/>
      <c r="E629" s="13"/>
      <c r="F629" s="13"/>
      <c r="G629" s="36"/>
      <c r="H629" s="36"/>
      <c r="I629" s="36"/>
      <c r="J629" s="36"/>
      <c r="K629" s="36"/>
      <c r="L629" s="36"/>
      <c r="M629" s="36"/>
      <c r="N629" s="13"/>
      <c r="O629" s="202"/>
      <c r="P629" s="36"/>
      <c r="Q629" s="52"/>
      <c r="R629" s="52"/>
      <c r="S629" s="52"/>
      <c r="U629" s="202"/>
      <c r="V629" s="202"/>
      <c r="W629" s="202"/>
      <c r="X629" s="202"/>
      <c r="Y629" s="13"/>
      <c r="Z629" s="36"/>
      <c r="AA629" s="13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289"/>
      <c r="AO629" s="289"/>
      <c r="AP629" s="289"/>
      <c r="AQ629" s="36"/>
      <c r="AR629" s="283"/>
      <c r="AS629" s="13"/>
      <c r="AT629" s="13"/>
      <c r="AU629" s="32"/>
      <c r="AV629" s="277"/>
      <c r="AW629" s="277"/>
      <c r="AX629" s="277"/>
      <c r="AY629" s="280"/>
      <c r="AZ629" s="268"/>
      <c r="BA629" s="268"/>
      <c r="BB629" s="13"/>
      <c r="BC629" s="36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</row>
    <row r="630" spans="1:73">
      <c r="A630" s="13"/>
      <c r="B630" s="13"/>
      <c r="C630" s="13"/>
      <c r="D630" s="13"/>
      <c r="E630" s="13"/>
      <c r="F630" s="13"/>
      <c r="G630" s="36"/>
      <c r="H630" s="36"/>
      <c r="I630" s="36"/>
      <c r="J630" s="36"/>
      <c r="K630" s="36"/>
      <c r="L630" s="36"/>
      <c r="M630" s="36"/>
      <c r="N630" s="13"/>
      <c r="O630" s="202"/>
      <c r="P630" s="36"/>
      <c r="Q630" s="52"/>
      <c r="R630" s="52"/>
      <c r="S630" s="52"/>
      <c r="U630" s="202"/>
      <c r="V630" s="202"/>
      <c r="W630" s="202"/>
      <c r="X630" s="202"/>
      <c r="Y630" s="13"/>
      <c r="Z630" s="36"/>
      <c r="AA630" s="13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289"/>
      <c r="AO630" s="289"/>
      <c r="AP630" s="289"/>
      <c r="AQ630" s="36"/>
      <c r="AR630" s="283"/>
      <c r="AS630" s="13"/>
      <c r="AT630" s="13"/>
      <c r="AU630" s="32"/>
      <c r="AV630" s="277"/>
      <c r="AW630" s="277"/>
      <c r="AX630" s="277"/>
      <c r="AY630" s="280"/>
      <c r="AZ630" s="268"/>
      <c r="BA630" s="268"/>
      <c r="BB630" s="13"/>
      <c r="BC630" s="36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</row>
    <row r="631" spans="1:73">
      <c r="A631" s="13"/>
      <c r="B631" s="13"/>
      <c r="C631" s="13"/>
      <c r="D631" s="13"/>
      <c r="E631" s="13"/>
      <c r="F631" s="13"/>
      <c r="G631" s="36"/>
      <c r="H631" s="36"/>
      <c r="I631" s="36"/>
      <c r="J631" s="36"/>
      <c r="K631" s="36"/>
      <c r="L631" s="36"/>
      <c r="M631" s="36"/>
      <c r="N631" s="13"/>
      <c r="O631" s="202"/>
      <c r="P631" s="36"/>
      <c r="Q631" s="52"/>
      <c r="R631" s="52"/>
      <c r="S631" s="52"/>
      <c r="U631" s="202"/>
      <c r="V631" s="202"/>
      <c r="W631" s="202"/>
      <c r="X631" s="202"/>
      <c r="Y631" s="13"/>
      <c r="Z631" s="36"/>
      <c r="AA631" s="13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289"/>
      <c r="AO631" s="289"/>
      <c r="AP631" s="289"/>
      <c r="AQ631" s="36"/>
      <c r="AR631" s="283"/>
      <c r="AS631" s="13"/>
      <c r="AT631" s="13"/>
      <c r="AU631" s="32"/>
      <c r="AV631" s="277"/>
      <c r="AW631" s="277"/>
      <c r="AX631" s="277"/>
      <c r="AY631" s="280"/>
      <c r="AZ631" s="268"/>
      <c r="BA631" s="268"/>
      <c r="BB631" s="13"/>
      <c r="BC631" s="36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</row>
    <row r="632" spans="1:73">
      <c r="A632" s="13"/>
      <c r="B632" s="13"/>
      <c r="C632" s="13"/>
      <c r="D632" s="13"/>
      <c r="E632" s="13"/>
      <c r="F632" s="13"/>
      <c r="G632" s="36"/>
      <c r="H632" s="36"/>
      <c r="I632" s="36"/>
      <c r="J632" s="36"/>
      <c r="K632" s="36"/>
      <c r="L632" s="36"/>
      <c r="M632" s="36"/>
      <c r="N632" s="13"/>
      <c r="O632" s="202"/>
      <c r="P632" s="36"/>
      <c r="Q632" s="52"/>
      <c r="R632" s="52"/>
      <c r="S632" s="52"/>
      <c r="U632" s="202"/>
      <c r="V632" s="202"/>
      <c r="W632" s="202"/>
      <c r="X632" s="202"/>
      <c r="Y632" s="13"/>
      <c r="Z632" s="36"/>
      <c r="AA632" s="13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289"/>
      <c r="AO632" s="289"/>
      <c r="AP632" s="289"/>
      <c r="AQ632" s="36"/>
      <c r="AR632" s="283"/>
      <c r="AS632" s="13"/>
      <c r="AT632" s="13"/>
      <c r="AU632" s="32"/>
      <c r="AV632" s="277"/>
      <c r="AW632" s="277"/>
      <c r="AX632" s="277"/>
      <c r="AY632" s="280"/>
      <c r="AZ632" s="268"/>
      <c r="BA632" s="268"/>
      <c r="BB632" s="13"/>
      <c r="BC632" s="36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</row>
    <row r="633" spans="1:73">
      <c r="A633" s="13"/>
      <c r="B633" s="13"/>
      <c r="C633" s="13"/>
      <c r="D633" s="13"/>
      <c r="E633" s="13"/>
      <c r="F633" s="13"/>
      <c r="G633" s="36"/>
      <c r="H633" s="36"/>
      <c r="I633" s="36"/>
      <c r="J633" s="36"/>
      <c r="K633" s="36"/>
      <c r="L633" s="36"/>
      <c r="M633" s="36"/>
      <c r="N633" s="13"/>
      <c r="O633" s="202"/>
      <c r="P633" s="36"/>
      <c r="Q633" s="52"/>
      <c r="R633" s="52"/>
      <c r="S633" s="52"/>
      <c r="U633" s="202"/>
      <c r="V633" s="202"/>
      <c r="W633" s="202"/>
      <c r="X633" s="202"/>
      <c r="Y633" s="13"/>
      <c r="Z633" s="36"/>
      <c r="AA633" s="13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289"/>
      <c r="AO633" s="289"/>
      <c r="AP633" s="289"/>
      <c r="AQ633" s="36"/>
      <c r="AR633" s="283"/>
      <c r="AS633" s="13"/>
      <c r="AT633" s="13"/>
      <c r="AU633" s="32"/>
      <c r="AV633" s="277"/>
      <c r="AW633" s="277"/>
      <c r="AX633" s="277"/>
      <c r="AY633" s="280"/>
      <c r="AZ633" s="268"/>
      <c r="BA633" s="268"/>
      <c r="BB633" s="13"/>
      <c r="BC633" s="36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</row>
    <row r="634" spans="1:73">
      <c r="A634" s="13"/>
      <c r="B634" s="13"/>
      <c r="C634" s="13"/>
      <c r="D634" s="13"/>
      <c r="E634" s="13"/>
      <c r="F634" s="13"/>
      <c r="G634" s="36"/>
      <c r="H634" s="36"/>
      <c r="I634" s="36"/>
      <c r="J634" s="36"/>
      <c r="K634" s="36"/>
      <c r="L634" s="36"/>
      <c r="M634" s="36"/>
      <c r="N634" s="13"/>
      <c r="O634" s="202"/>
      <c r="P634" s="36"/>
      <c r="Q634" s="52"/>
      <c r="R634" s="52"/>
      <c r="S634" s="52"/>
      <c r="U634" s="202"/>
      <c r="V634" s="202"/>
      <c r="W634" s="202"/>
      <c r="X634" s="202"/>
      <c r="Y634" s="13"/>
      <c r="Z634" s="36"/>
      <c r="AA634" s="13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289"/>
      <c r="AO634" s="289"/>
      <c r="AP634" s="289"/>
      <c r="AQ634" s="36"/>
      <c r="AR634" s="283"/>
      <c r="AS634" s="13"/>
      <c r="AT634" s="13"/>
      <c r="AU634" s="32"/>
      <c r="AV634" s="277"/>
      <c r="AW634" s="277"/>
      <c r="AX634" s="277"/>
      <c r="AY634" s="280"/>
      <c r="AZ634" s="268"/>
      <c r="BA634" s="268"/>
      <c r="BB634" s="13"/>
      <c r="BC634" s="36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</row>
    <row r="635" spans="1:73">
      <c r="A635" s="13"/>
      <c r="B635" s="13"/>
      <c r="C635" s="13"/>
      <c r="D635" s="13"/>
      <c r="E635" s="13"/>
      <c r="F635" s="13"/>
      <c r="G635" s="36"/>
      <c r="H635" s="36"/>
      <c r="I635" s="36"/>
      <c r="J635" s="36"/>
      <c r="K635" s="36"/>
      <c r="L635" s="36"/>
      <c r="M635" s="36"/>
      <c r="N635" s="13"/>
      <c r="O635" s="202"/>
      <c r="P635" s="36"/>
      <c r="Q635" s="52"/>
      <c r="R635" s="52"/>
      <c r="S635" s="52"/>
      <c r="U635" s="202"/>
      <c r="V635" s="202"/>
      <c r="W635" s="202"/>
      <c r="X635" s="202"/>
      <c r="Y635" s="13"/>
      <c r="Z635" s="36"/>
      <c r="AA635" s="13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289"/>
      <c r="AO635" s="289"/>
      <c r="AP635" s="289"/>
      <c r="AQ635" s="36"/>
      <c r="AR635" s="283"/>
      <c r="AS635" s="13"/>
      <c r="AT635" s="13"/>
      <c r="AU635" s="32"/>
      <c r="AV635" s="277"/>
      <c r="AW635" s="277"/>
      <c r="AX635" s="277"/>
      <c r="AY635" s="280"/>
      <c r="AZ635" s="268"/>
      <c r="BA635" s="268"/>
      <c r="BB635" s="13"/>
      <c r="BC635" s="36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</row>
    <row r="636" spans="1:73">
      <c r="A636" s="13"/>
      <c r="B636" s="13"/>
      <c r="C636" s="13"/>
      <c r="D636" s="13"/>
      <c r="E636" s="13"/>
      <c r="F636" s="13"/>
      <c r="G636" s="36"/>
      <c r="H636" s="36"/>
      <c r="I636" s="36"/>
      <c r="J636" s="36"/>
      <c r="K636" s="36"/>
      <c r="L636" s="36"/>
      <c r="M636" s="36"/>
      <c r="N636" s="13"/>
      <c r="O636" s="202"/>
      <c r="P636" s="36"/>
      <c r="Q636" s="52"/>
      <c r="R636" s="52"/>
      <c r="S636" s="52"/>
      <c r="U636" s="202"/>
      <c r="V636" s="202"/>
      <c r="W636" s="202"/>
      <c r="X636" s="202"/>
      <c r="Y636" s="13"/>
      <c r="Z636" s="36"/>
      <c r="AA636" s="13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289"/>
      <c r="AO636" s="289"/>
      <c r="AP636" s="289"/>
      <c r="AQ636" s="36"/>
      <c r="AR636" s="283"/>
      <c r="AS636" s="13"/>
      <c r="AT636" s="13"/>
      <c r="AU636" s="32"/>
      <c r="AV636" s="277"/>
      <c r="AW636" s="277"/>
      <c r="AX636" s="277"/>
      <c r="AY636" s="280"/>
      <c r="AZ636" s="268"/>
      <c r="BA636" s="268"/>
      <c r="BB636" s="13"/>
      <c r="BC636" s="36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</row>
    <row r="637" spans="1:73">
      <c r="A637" s="13"/>
      <c r="B637" s="13"/>
      <c r="C637" s="13"/>
      <c r="D637" s="13"/>
      <c r="E637" s="13"/>
      <c r="F637" s="13"/>
      <c r="G637" s="36"/>
      <c r="H637" s="36"/>
      <c r="I637" s="36"/>
      <c r="J637" s="36"/>
      <c r="K637" s="36"/>
      <c r="L637" s="36"/>
      <c r="M637" s="36"/>
      <c r="N637" s="13"/>
      <c r="O637" s="202"/>
      <c r="P637" s="36"/>
      <c r="Q637" s="52"/>
      <c r="R637" s="52"/>
      <c r="S637" s="52"/>
      <c r="U637" s="202"/>
      <c r="V637" s="202"/>
      <c r="W637" s="202"/>
      <c r="X637" s="202"/>
      <c r="Y637" s="13"/>
      <c r="Z637" s="36"/>
      <c r="AA637" s="13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289"/>
      <c r="AO637" s="289"/>
      <c r="AP637" s="289"/>
      <c r="AQ637" s="36"/>
      <c r="AR637" s="283"/>
      <c r="AS637" s="13"/>
      <c r="AT637" s="13"/>
      <c r="AU637" s="32"/>
      <c r="AV637" s="277"/>
      <c r="AW637" s="277"/>
      <c r="AX637" s="277"/>
      <c r="AY637" s="280"/>
      <c r="AZ637" s="268"/>
      <c r="BA637" s="268"/>
      <c r="BB637" s="13"/>
      <c r="BC637" s="36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</row>
    <row r="638" spans="1:73">
      <c r="A638" s="13"/>
      <c r="B638" s="13"/>
      <c r="C638" s="13"/>
      <c r="D638" s="13"/>
      <c r="E638" s="13"/>
      <c r="F638" s="13"/>
      <c r="G638" s="36"/>
      <c r="H638" s="36"/>
      <c r="I638" s="36"/>
      <c r="J638" s="36"/>
      <c r="K638" s="36"/>
      <c r="L638" s="36"/>
      <c r="M638" s="36"/>
      <c r="N638" s="13"/>
      <c r="O638" s="202"/>
      <c r="P638" s="36"/>
      <c r="Q638" s="52"/>
      <c r="R638" s="52"/>
      <c r="S638" s="52"/>
      <c r="U638" s="202"/>
      <c r="V638" s="202"/>
      <c r="W638" s="202"/>
      <c r="X638" s="202"/>
      <c r="Y638" s="13"/>
      <c r="Z638" s="36"/>
      <c r="AA638" s="13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289"/>
      <c r="AO638" s="289"/>
      <c r="AP638" s="289"/>
      <c r="AQ638" s="36"/>
      <c r="AR638" s="283"/>
      <c r="AS638" s="13"/>
      <c r="AT638" s="13"/>
      <c r="AU638" s="32"/>
      <c r="AV638" s="277"/>
      <c r="AW638" s="277"/>
      <c r="AX638" s="277"/>
      <c r="AY638" s="280"/>
      <c r="AZ638" s="268"/>
      <c r="BA638" s="268"/>
      <c r="BB638" s="13"/>
      <c r="BC638" s="36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</row>
    <row r="639" spans="1:73">
      <c r="A639" s="13"/>
      <c r="B639" s="13"/>
      <c r="C639" s="13"/>
      <c r="D639" s="13"/>
      <c r="E639" s="13"/>
      <c r="F639" s="13"/>
      <c r="G639" s="36"/>
      <c r="H639" s="36"/>
      <c r="I639" s="36"/>
      <c r="J639" s="36"/>
      <c r="K639" s="36"/>
      <c r="L639" s="36"/>
      <c r="M639" s="36"/>
      <c r="N639" s="13"/>
      <c r="O639" s="202"/>
      <c r="P639" s="36"/>
      <c r="Q639" s="52"/>
      <c r="R639" s="52"/>
      <c r="S639" s="52"/>
      <c r="U639" s="202"/>
      <c r="V639" s="202"/>
      <c r="W639" s="202"/>
      <c r="X639" s="202"/>
      <c r="Y639" s="13"/>
      <c r="Z639" s="36"/>
      <c r="AA639" s="13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289"/>
      <c r="AO639" s="289"/>
      <c r="AP639" s="289"/>
      <c r="AQ639" s="36"/>
      <c r="AR639" s="283"/>
      <c r="AS639" s="13"/>
      <c r="AT639" s="13"/>
      <c r="AU639" s="32"/>
      <c r="AV639" s="277"/>
      <c r="AW639" s="277"/>
      <c r="AX639" s="277"/>
      <c r="AY639" s="280"/>
      <c r="AZ639" s="268"/>
      <c r="BA639" s="268"/>
      <c r="BB639" s="13"/>
      <c r="BC639" s="36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</row>
    <row r="640" spans="1:73">
      <c r="A640" s="13"/>
      <c r="B640" s="13"/>
      <c r="C640" s="13"/>
      <c r="D640" s="13"/>
      <c r="E640" s="13"/>
      <c r="F640" s="13"/>
      <c r="G640" s="36"/>
      <c r="H640" s="36"/>
      <c r="I640" s="36"/>
      <c r="J640" s="36"/>
      <c r="K640" s="36"/>
      <c r="L640" s="36"/>
      <c r="M640" s="36"/>
      <c r="N640" s="13"/>
      <c r="O640" s="202"/>
      <c r="P640" s="36"/>
      <c r="Q640" s="52"/>
      <c r="R640" s="52"/>
      <c r="S640" s="52"/>
      <c r="U640" s="202"/>
      <c r="V640" s="202"/>
      <c r="W640" s="202"/>
      <c r="X640" s="202"/>
      <c r="Y640" s="13"/>
      <c r="Z640" s="36"/>
      <c r="AA640" s="13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289"/>
      <c r="AO640" s="289"/>
      <c r="AP640" s="289"/>
      <c r="AQ640" s="36"/>
      <c r="AR640" s="283"/>
      <c r="AS640" s="13"/>
      <c r="AT640" s="13"/>
      <c r="AU640" s="32"/>
      <c r="AV640" s="277"/>
      <c r="AW640" s="277"/>
      <c r="AX640" s="277"/>
      <c r="AY640" s="280"/>
      <c r="AZ640" s="268"/>
      <c r="BA640" s="268"/>
      <c r="BB640" s="13"/>
      <c r="BC640" s="36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</row>
    <row r="641" spans="1:73">
      <c r="A641" s="13"/>
      <c r="B641" s="13"/>
      <c r="C641" s="13"/>
      <c r="D641" s="13"/>
      <c r="E641" s="13"/>
      <c r="F641" s="13"/>
      <c r="G641" s="36"/>
      <c r="H641" s="36"/>
      <c r="I641" s="36"/>
      <c r="J641" s="36"/>
      <c r="K641" s="36"/>
      <c r="L641" s="36"/>
      <c r="M641" s="36"/>
      <c r="N641" s="13"/>
      <c r="O641" s="202"/>
      <c r="P641" s="36"/>
      <c r="Q641" s="52"/>
      <c r="R641" s="52"/>
      <c r="S641" s="52"/>
      <c r="U641" s="202"/>
      <c r="V641" s="202"/>
      <c r="W641" s="202"/>
      <c r="X641" s="202"/>
      <c r="Y641" s="13"/>
      <c r="Z641" s="36"/>
      <c r="AA641" s="13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289"/>
      <c r="AO641" s="289"/>
      <c r="AP641" s="289"/>
      <c r="AQ641" s="36"/>
      <c r="AR641" s="283"/>
      <c r="AS641" s="13"/>
      <c r="AT641" s="13"/>
      <c r="AU641" s="32"/>
      <c r="AV641" s="277"/>
      <c r="AW641" s="277"/>
      <c r="AX641" s="277"/>
      <c r="AY641" s="280"/>
      <c r="AZ641" s="268"/>
      <c r="BA641" s="268"/>
      <c r="BB641" s="13"/>
      <c r="BC641" s="36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</row>
    <row r="642" spans="1:73">
      <c r="A642" s="13"/>
      <c r="B642" s="13"/>
      <c r="C642" s="13"/>
      <c r="D642" s="13"/>
      <c r="E642" s="13"/>
      <c r="F642" s="13"/>
      <c r="G642" s="36"/>
      <c r="H642" s="36"/>
      <c r="I642" s="36"/>
      <c r="J642" s="36"/>
      <c r="K642" s="36"/>
      <c r="L642" s="36"/>
      <c r="M642" s="36"/>
      <c r="N642" s="13"/>
      <c r="O642" s="202"/>
      <c r="P642" s="36"/>
      <c r="Q642" s="52"/>
      <c r="R642" s="52"/>
      <c r="S642" s="52"/>
      <c r="U642" s="202"/>
      <c r="V642" s="202"/>
      <c r="W642" s="202"/>
      <c r="X642" s="202"/>
      <c r="Y642" s="13"/>
      <c r="Z642" s="36"/>
      <c r="AA642" s="13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289"/>
      <c r="AO642" s="289"/>
      <c r="AP642" s="289"/>
      <c r="AQ642" s="36"/>
      <c r="AR642" s="283"/>
      <c r="AS642" s="13"/>
      <c r="AT642" s="13"/>
      <c r="AU642" s="32"/>
      <c r="AV642" s="277"/>
      <c r="AW642" s="277"/>
      <c r="AX642" s="277"/>
      <c r="AY642" s="280"/>
      <c r="AZ642" s="268"/>
      <c r="BA642" s="268"/>
      <c r="BB642" s="13"/>
      <c r="BC642" s="36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</row>
    <row r="643" spans="1:73">
      <c r="A643" s="13"/>
      <c r="B643" s="13"/>
      <c r="C643" s="13"/>
      <c r="D643" s="13"/>
      <c r="E643" s="13"/>
      <c r="F643" s="13"/>
      <c r="G643" s="36"/>
      <c r="H643" s="36"/>
      <c r="I643" s="36"/>
      <c r="J643" s="36"/>
      <c r="K643" s="36"/>
      <c r="L643" s="36"/>
      <c r="M643" s="36"/>
      <c r="N643" s="13"/>
      <c r="O643" s="202"/>
      <c r="P643" s="36"/>
      <c r="Q643" s="52"/>
      <c r="R643" s="52"/>
      <c r="S643" s="52"/>
      <c r="U643" s="202"/>
      <c r="V643" s="202"/>
      <c r="W643" s="202"/>
      <c r="X643" s="202"/>
      <c r="Y643" s="13"/>
      <c r="Z643" s="36"/>
      <c r="AA643" s="13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289"/>
      <c r="AO643" s="289"/>
      <c r="AP643" s="289"/>
      <c r="AQ643" s="36"/>
      <c r="AR643" s="283"/>
      <c r="AS643" s="13"/>
      <c r="AT643" s="13"/>
      <c r="AU643" s="32"/>
      <c r="AV643" s="277"/>
      <c r="AW643" s="277"/>
      <c r="AX643" s="277"/>
      <c r="AY643" s="280"/>
      <c r="AZ643" s="268"/>
      <c r="BA643" s="268"/>
      <c r="BB643" s="13"/>
      <c r="BC643" s="36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</row>
    <row r="644" spans="1:73">
      <c r="A644" s="13"/>
      <c r="B644" s="13"/>
      <c r="C644" s="13"/>
      <c r="D644" s="13"/>
      <c r="E644" s="13"/>
      <c r="F644" s="13"/>
      <c r="G644" s="36"/>
      <c r="H644" s="36"/>
      <c r="I644" s="36"/>
      <c r="J644" s="36"/>
      <c r="K644" s="36"/>
      <c r="L644" s="36"/>
      <c r="M644" s="36"/>
      <c r="N644" s="13"/>
      <c r="O644" s="202"/>
      <c r="P644" s="36"/>
      <c r="Q644" s="52"/>
      <c r="R644" s="52"/>
      <c r="S644" s="52"/>
      <c r="U644" s="202"/>
      <c r="V644" s="202"/>
      <c r="W644" s="202"/>
      <c r="X644" s="202"/>
      <c r="Y644" s="13"/>
      <c r="Z644" s="36"/>
      <c r="AA644" s="13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289"/>
      <c r="AO644" s="289"/>
      <c r="AP644" s="289"/>
      <c r="AQ644" s="36"/>
      <c r="AR644" s="283"/>
      <c r="AS644" s="13"/>
      <c r="AT644" s="13"/>
      <c r="AU644" s="32"/>
      <c r="AV644" s="277"/>
      <c r="AW644" s="277"/>
      <c r="AX644" s="277"/>
      <c r="AY644" s="280"/>
      <c r="AZ644" s="268"/>
      <c r="BA644" s="268"/>
      <c r="BB644" s="13"/>
      <c r="BC644" s="36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</row>
    <row r="645" spans="1:73">
      <c r="A645" s="13"/>
      <c r="B645" s="13"/>
      <c r="C645" s="13"/>
      <c r="D645" s="13"/>
      <c r="E645" s="13"/>
      <c r="F645" s="13"/>
      <c r="G645" s="36"/>
      <c r="H645" s="36"/>
      <c r="I645" s="36"/>
      <c r="J645" s="36"/>
      <c r="K645" s="36"/>
      <c r="L645" s="36"/>
      <c r="M645" s="36"/>
      <c r="N645" s="13"/>
      <c r="O645" s="202"/>
      <c r="P645" s="36"/>
      <c r="Q645" s="52"/>
      <c r="R645" s="52"/>
      <c r="S645" s="52"/>
      <c r="U645" s="202"/>
      <c r="V645" s="202"/>
      <c r="W645" s="202"/>
      <c r="X645" s="202"/>
      <c r="Y645" s="13"/>
      <c r="Z645" s="36"/>
      <c r="AA645" s="13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289"/>
      <c r="AO645" s="289"/>
      <c r="AP645" s="289"/>
      <c r="AQ645" s="36"/>
      <c r="AR645" s="283"/>
      <c r="AS645" s="13"/>
      <c r="AT645" s="13"/>
      <c r="AU645" s="32"/>
      <c r="AV645" s="277"/>
      <c r="AW645" s="277"/>
      <c r="AX645" s="277"/>
      <c r="AY645" s="280"/>
      <c r="AZ645" s="268"/>
      <c r="BA645" s="268"/>
      <c r="BB645" s="13"/>
      <c r="BC645" s="36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</row>
    <row r="646" spans="1:73">
      <c r="A646" s="13"/>
      <c r="B646" s="13"/>
      <c r="C646" s="13"/>
      <c r="D646" s="13"/>
      <c r="E646" s="13"/>
      <c r="F646" s="13"/>
      <c r="G646" s="36"/>
      <c r="H646" s="36"/>
      <c r="I646" s="36"/>
      <c r="J646" s="36"/>
      <c r="K646" s="36"/>
      <c r="L646" s="36"/>
      <c r="M646" s="36"/>
      <c r="N646" s="13"/>
      <c r="O646" s="202"/>
      <c r="P646" s="36"/>
      <c r="Q646" s="52"/>
      <c r="R646" s="52"/>
      <c r="S646" s="52"/>
      <c r="U646" s="202"/>
      <c r="V646" s="202"/>
      <c r="W646" s="202"/>
      <c r="X646" s="202"/>
      <c r="Y646" s="13"/>
      <c r="Z646" s="36"/>
      <c r="AA646" s="13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289"/>
      <c r="AO646" s="289"/>
      <c r="AP646" s="289"/>
      <c r="AQ646" s="36"/>
      <c r="AR646" s="283"/>
      <c r="AS646" s="13"/>
      <c r="AT646" s="13"/>
      <c r="AU646" s="32"/>
      <c r="AV646" s="277"/>
      <c r="AW646" s="277"/>
      <c r="AX646" s="277"/>
      <c r="AY646" s="280"/>
      <c r="AZ646" s="268"/>
      <c r="BA646" s="268"/>
      <c r="BB646" s="13"/>
      <c r="BC646" s="36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</row>
    <row r="647" spans="1:73">
      <c r="A647" s="13"/>
      <c r="B647" s="13"/>
      <c r="C647" s="13"/>
      <c r="D647" s="13"/>
      <c r="E647" s="13"/>
      <c r="F647" s="13"/>
      <c r="G647" s="36"/>
      <c r="H647" s="36"/>
      <c r="I647" s="36"/>
      <c r="J647" s="36"/>
      <c r="K647" s="36"/>
      <c r="L647" s="36"/>
      <c r="M647" s="36"/>
      <c r="N647" s="13"/>
      <c r="O647" s="202"/>
      <c r="P647" s="36"/>
      <c r="Q647" s="52"/>
      <c r="R647" s="52"/>
      <c r="S647" s="52"/>
      <c r="U647" s="202"/>
      <c r="V647" s="202"/>
      <c r="W647" s="202"/>
      <c r="X647" s="202"/>
      <c r="Y647" s="13"/>
      <c r="Z647" s="36"/>
      <c r="AA647" s="13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289"/>
      <c r="AO647" s="289"/>
      <c r="AP647" s="289"/>
      <c r="AQ647" s="36"/>
      <c r="AR647" s="283"/>
      <c r="AS647" s="13"/>
      <c r="AT647" s="13"/>
      <c r="AU647" s="32"/>
      <c r="AV647" s="277"/>
      <c r="AW647" s="277"/>
      <c r="AX647" s="277"/>
      <c r="AY647" s="280"/>
      <c r="AZ647" s="268"/>
      <c r="BA647" s="268"/>
      <c r="BB647" s="13"/>
      <c r="BC647" s="36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</row>
    <row r="648" spans="1:73">
      <c r="A648" s="13"/>
      <c r="B648" s="13"/>
      <c r="C648" s="13"/>
      <c r="D648" s="13"/>
      <c r="E648" s="13"/>
      <c r="F648" s="13"/>
      <c r="G648" s="36"/>
      <c r="H648" s="36"/>
      <c r="I648" s="36"/>
      <c r="J648" s="36"/>
      <c r="K648" s="36"/>
      <c r="L648" s="36"/>
      <c r="M648" s="36"/>
      <c r="N648" s="13"/>
      <c r="O648" s="202"/>
      <c r="P648" s="36"/>
      <c r="Q648" s="52"/>
      <c r="R648" s="52"/>
      <c r="S648" s="52"/>
      <c r="U648" s="202"/>
      <c r="V648" s="202"/>
      <c r="W648" s="202"/>
      <c r="X648" s="202"/>
      <c r="Y648" s="13"/>
      <c r="Z648" s="36"/>
      <c r="AA648" s="13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289"/>
      <c r="AO648" s="289"/>
      <c r="AP648" s="289"/>
      <c r="AQ648" s="36"/>
      <c r="AR648" s="283"/>
      <c r="AS648" s="13"/>
      <c r="AT648" s="13"/>
      <c r="AU648" s="32"/>
      <c r="AV648" s="277"/>
      <c r="AW648" s="277"/>
      <c r="AX648" s="277"/>
      <c r="AY648" s="280"/>
      <c r="AZ648" s="268"/>
      <c r="BA648" s="268"/>
      <c r="BB648" s="13"/>
      <c r="BC648" s="36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</row>
    <row r="649" spans="1:73">
      <c r="A649" s="13"/>
      <c r="B649" s="13"/>
      <c r="C649" s="13"/>
      <c r="D649" s="13"/>
      <c r="E649" s="13"/>
      <c r="F649" s="13"/>
      <c r="G649" s="36"/>
      <c r="H649" s="36"/>
      <c r="I649" s="36"/>
      <c r="J649" s="36"/>
      <c r="K649" s="36"/>
      <c r="L649" s="36"/>
      <c r="M649" s="36"/>
      <c r="N649" s="13"/>
      <c r="O649" s="202"/>
      <c r="P649" s="36"/>
      <c r="Q649" s="52"/>
      <c r="R649" s="52"/>
      <c r="S649" s="52"/>
      <c r="U649" s="202"/>
      <c r="V649" s="202"/>
      <c r="W649" s="202"/>
      <c r="X649" s="202"/>
      <c r="Y649" s="13"/>
      <c r="Z649" s="36"/>
      <c r="AA649" s="13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289"/>
      <c r="AO649" s="289"/>
      <c r="AP649" s="289"/>
      <c r="AQ649" s="36"/>
      <c r="AR649" s="283"/>
      <c r="AS649" s="13"/>
      <c r="AT649" s="13"/>
      <c r="AU649" s="32"/>
      <c r="AV649" s="277"/>
      <c r="AW649" s="277"/>
      <c r="AX649" s="277"/>
      <c r="AY649" s="280"/>
      <c r="AZ649" s="268"/>
      <c r="BA649" s="268"/>
      <c r="BB649" s="13"/>
      <c r="BC649" s="36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</row>
    <row r="650" spans="1:73">
      <c r="A650" s="13"/>
      <c r="B650" s="13"/>
      <c r="C650" s="13"/>
      <c r="D650" s="13"/>
      <c r="E650" s="13"/>
      <c r="F650" s="13"/>
      <c r="G650" s="36"/>
      <c r="H650" s="36"/>
      <c r="I650" s="36"/>
      <c r="J650" s="36"/>
      <c r="K650" s="36"/>
      <c r="L650" s="36"/>
      <c r="M650" s="36"/>
      <c r="N650" s="13"/>
      <c r="O650" s="202"/>
      <c r="P650" s="36"/>
      <c r="Q650" s="52"/>
      <c r="R650" s="52"/>
      <c r="S650" s="52"/>
      <c r="U650" s="202"/>
      <c r="V650" s="202"/>
      <c r="W650" s="202"/>
      <c r="X650" s="202"/>
      <c r="Y650" s="13"/>
      <c r="Z650" s="36"/>
      <c r="AA650" s="13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289"/>
      <c r="AO650" s="289"/>
      <c r="AP650" s="289"/>
      <c r="AQ650" s="36"/>
      <c r="AR650" s="283"/>
      <c r="AS650" s="13"/>
      <c r="AT650" s="13"/>
      <c r="AU650" s="32"/>
      <c r="AV650" s="277"/>
      <c r="AW650" s="277"/>
      <c r="AX650" s="277"/>
      <c r="AY650" s="280"/>
      <c r="AZ650" s="268"/>
      <c r="BA650" s="268"/>
      <c r="BB650" s="13"/>
      <c r="BC650" s="36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</row>
    <row r="651" spans="1:73">
      <c r="A651" s="13"/>
      <c r="B651" s="13"/>
      <c r="C651" s="13"/>
      <c r="D651" s="13"/>
      <c r="E651" s="13"/>
      <c r="F651" s="13"/>
      <c r="G651" s="36"/>
      <c r="H651" s="36"/>
      <c r="I651" s="36"/>
      <c r="J651" s="36"/>
      <c r="K651" s="36"/>
      <c r="L651" s="36"/>
      <c r="M651" s="36"/>
      <c r="N651" s="13"/>
      <c r="O651" s="202"/>
      <c r="P651" s="36"/>
      <c r="Q651" s="52"/>
      <c r="R651" s="52"/>
      <c r="S651" s="52"/>
      <c r="U651" s="202"/>
      <c r="V651" s="202"/>
      <c r="W651" s="202"/>
      <c r="X651" s="202"/>
      <c r="Y651" s="13"/>
      <c r="Z651" s="36"/>
      <c r="AA651" s="13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289"/>
      <c r="AO651" s="289"/>
      <c r="AP651" s="289"/>
      <c r="AQ651" s="36"/>
      <c r="AR651" s="283"/>
      <c r="AS651" s="13"/>
      <c r="AT651" s="13"/>
      <c r="AU651" s="32"/>
      <c r="AV651" s="277"/>
      <c r="AW651" s="277"/>
      <c r="AX651" s="277"/>
      <c r="AY651" s="280"/>
      <c r="AZ651" s="268"/>
      <c r="BA651" s="268"/>
      <c r="BB651" s="13"/>
      <c r="BC651" s="36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</row>
    <row r="652" spans="1:73">
      <c r="A652" s="13"/>
      <c r="B652" s="13"/>
      <c r="C652" s="13"/>
      <c r="D652" s="13"/>
      <c r="E652" s="13"/>
      <c r="F652" s="13"/>
      <c r="G652" s="36"/>
      <c r="H652" s="36"/>
      <c r="I652" s="36"/>
      <c r="J652" s="36"/>
      <c r="K652" s="36"/>
      <c r="L652" s="36"/>
      <c r="M652" s="36"/>
      <c r="N652" s="13"/>
      <c r="O652" s="202"/>
      <c r="P652" s="36"/>
      <c r="Q652" s="52"/>
      <c r="R652" s="52"/>
      <c r="S652" s="52"/>
      <c r="U652" s="202"/>
      <c r="V652" s="202"/>
      <c r="W652" s="202"/>
      <c r="X652" s="202"/>
      <c r="Y652" s="13"/>
      <c r="Z652" s="36"/>
      <c r="AA652" s="13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289"/>
      <c r="AO652" s="289"/>
      <c r="AP652" s="289"/>
      <c r="AQ652" s="36"/>
      <c r="AR652" s="283"/>
      <c r="AS652" s="13"/>
      <c r="AT652" s="13"/>
      <c r="AU652" s="32"/>
      <c r="AV652" s="277"/>
      <c r="AW652" s="277"/>
      <c r="AX652" s="277"/>
      <c r="AY652" s="280"/>
      <c r="AZ652" s="268"/>
      <c r="BA652" s="268"/>
      <c r="BB652" s="13"/>
      <c r="BC652" s="36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</row>
    <row r="653" spans="1:73">
      <c r="A653" s="13"/>
      <c r="B653" s="13"/>
      <c r="C653" s="13"/>
      <c r="D653" s="13"/>
      <c r="E653" s="13"/>
      <c r="F653" s="13"/>
      <c r="G653" s="36"/>
      <c r="H653" s="36"/>
      <c r="I653" s="36"/>
      <c r="J653" s="36"/>
      <c r="K653" s="36"/>
      <c r="L653" s="36"/>
      <c r="M653" s="36"/>
      <c r="N653" s="13"/>
      <c r="O653" s="202"/>
      <c r="P653" s="36"/>
      <c r="Q653" s="52"/>
      <c r="R653" s="52"/>
      <c r="S653" s="52"/>
      <c r="U653" s="202"/>
      <c r="V653" s="202"/>
      <c r="W653" s="202"/>
      <c r="X653" s="202"/>
      <c r="Y653" s="13"/>
      <c r="Z653" s="36"/>
      <c r="AA653" s="13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289"/>
      <c r="AO653" s="289"/>
      <c r="AP653" s="289"/>
      <c r="AQ653" s="36"/>
      <c r="AR653" s="283"/>
      <c r="AS653" s="13"/>
      <c r="AT653" s="13"/>
      <c r="AU653" s="32"/>
      <c r="AV653" s="277"/>
      <c r="AW653" s="277"/>
      <c r="AX653" s="277"/>
      <c r="AY653" s="280"/>
      <c r="AZ653" s="268"/>
      <c r="BA653" s="268"/>
      <c r="BB653" s="13"/>
      <c r="BC653" s="36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</row>
    <row r="654" spans="1:73">
      <c r="A654" s="13"/>
      <c r="B654" s="13"/>
      <c r="C654" s="13"/>
      <c r="D654" s="13"/>
      <c r="E654" s="13"/>
      <c r="F654" s="13"/>
      <c r="G654" s="36"/>
      <c r="H654" s="36"/>
      <c r="I654" s="36"/>
      <c r="J654" s="36"/>
      <c r="K654" s="36"/>
      <c r="L654" s="36"/>
      <c r="M654" s="36"/>
      <c r="N654" s="13"/>
      <c r="O654" s="202"/>
      <c r="P654" s="36"/>
      <c r="Q654" s="52"/>
      <c r="R654" s="52"/>
      <c r="S654" s="52"/>
      <c r="U654" s="202"/>
      <c r="V654" s="202"/>
      <c r="W654" s="202"/>
      <c r="X654" s="202"/>
      <c r="Y654" s="13"/>
      <c r="Z654" s="36"/>
      <c r="AA654" s="13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289"/>
      <c r="AO654" s="289"/>
      <c r="AP654" s="289"/>
      <c r="AQ654" s="36"/>
      <c r="AR654" s="283"/>
      <c r="AS654" s="13"/>
      <c r="AT654" s="13"/>
      <c r="AU654" s="32"/>
      <c r="AV654" s="277"/>
      <c r="AW654" s="277"/>
      <c r="AX654" s="277"/>
      <c r="AY654" s="280"/>
      <c r="AZ654" s="268"/>
      <c r="BA654" s="268"/>
      <c r="BB654" s="13"/>
      <c r="BC654" s="36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</row>
    <row r="655" spans="1:73">
      <c r="A655" s="13"/>
      <c r="B655" s="13"/>
      <c r="C655" s="13"/>
      <c r="D655" s="13"/>
      <c r="E655" s="13"/>
      <c r="F655" s="13"/>
      <c r="G655" s="36"/>
      <c r="H655" s="36"/>
      <c r="I655" s="36"/>
      <c r="J655" s="36"/>
      <c r="K655" s="36"/>
      <c r="L655" s="36"/>
      <c r="M655" s="36"/>
      <c r="N655" s="13"/>
      <c r="O655" s="202"/>
      <c r="P655" s="36"/>
      <c r="Q655" s="52"/>
      <c r="R655" s="52"/>
      <c r="S655" s="52"/>
      <c r="U655" s="202"/>
      <c r="V655" s="202"/>
      <c r="W655" s="202"/>
      <c r="X655" s="202"/>
      <c r="Y655" s="13"/>
      <c r="Z655" s="36"/>
      <c r="AA655" s="13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289"/>
      <c r="AO655" s="289"/>
      <c r="AP655" s="289"/>
      <c r="AQ655" s="36"/>
      <c r="AR655" s="283"/>
      <c r="AS655" s="13"/>
      <c r="AT655" s="13"/>
      <c r="AU655" s="32"/>
      <c r="AV655" s="277"/>
      <c r="AW655" s="277"/>
      <c r="AX655" s="277"/>
      <c r="AY655" s="280"/>
      <c r="AZ655" s="268"/>
      <c r="BA655" s="268"/>
      <c r="BB655" s="13"/>
      <c r="BC655" s="36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</row>
    <row r="656" spans="1:73">
      <c r="A656" s="13"/>
      <c r="B656" s="13"/>
      <c r="C656" s="13"/>
      <c r="D656" s="13"/>
      <c r="E656" s="13"/>
      <c r="F656" s="13"/>
      <c r="G656" s="36"/>
      <c r="H656" s="36"/>
      <c r="I656" s="36"/>
      <c r="J656" s="36"/>
      <c r="K656" s="36"/>
      <c r="L656" s="36"/>
      <c r="M656" s="36"/>
      <c r="N656" s="13"/>
      <c r="O656" s="202"/>
      <c r="P656" s="36"/>
      <c r="Q656" s="52"/>
      <c r="R656" s="52"/>
      <c r="S656" s="52"/>
      <c r="U656" s="202"/>
      <c r="V656" s="202"/>
      <c r="W656" s="202"/>
      <c r="X656" s="202"/>
      <c r="Y656" s="13"/>
      <c r="Z656" s="36"/>
      <c r="AA656" s="13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289"/>
      <c r="AO656" s="289"/>
      <c r="AP656" s="289"/>
      <c r="AQ656" s="36"/>
      <c r="AR656" s="283"/>
      <c r="AS656" s="13"/>
      <c r="AT656" s="13"/>
      <c r="AU656" s="32"/>
      <c r="AV656" s="277"/>
      <c r="AW656" s="277"/>
      <c r="AX656" s="277"/>
      <c r="AY656" s="280"/>
      <c r="AZ656" s="268"/>
      <c r="BA656" s="268"/>
      <c r="BB656" s="13"/>
      <c r="BC656" s="36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</row>
    <row r="657" spans="1:73">
      <c r="A657" s="13"/>
      <c r="B657" s="13"/>
      <c r="C657" s="13"/>
      <c r="D657" s="13"/>
      <c r="E657" s="13"/>
      <c r="F657" s="13"/>
      <c r="G657" s="36"/>
      <c r="H657" s="36"/>
      <c r="I657" s="36"/>
      <c r="J657" s="36"/>
      <c r="K657" s="36"/>
      <c r="L657" s="36"/>
      <c r="M657" s="36"/>
      <c r="N657" s="13"/>
      <c r="O657" s="202"/>
      <c r="P657" s="36"/>
      <c r="Q657" s="52"/>
      <c r="R657" s="52"/>
      <c r="S657" s="52"/>
      <c r="U657" s="202"/>
      <c r="V657" s="202"/>
      <c r="W657" s="202"/>
      <c r="X657" s="202"/>
      <c r="Y657" s="13"/>
      <c r="Z657" s="36"/>
      <c r="AA657" s="13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289"/>
      <c r="AO657" s="289"/>
      <c r="AP657" s="289"/>
      <c r="AQ657" s="36"/>
      <c r="AR657" s="283"/>
      <c r="AS657" s="13"/>
      <c r="AT657" s="13"/>
      <c r="AU657" s="32"/>
      <c r="AV657" s="277"/>
      <c r="AW657" s="277"/>
      <c r="AX657" s="277"/>
      <c r="AY657" s="280"/>
      <c r="AZ657" s="268"/>
      <c r="BA657" s="268"/>
      <c r="BB657" s="13"/>
      <c r="BC657" s="36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</row>
    <row r="658" spans="1:73">
      <c r="A658" s="13"/>
      <c r="B658" s="13"/>
      <c r="C658" s="13"/>
      <c r="D658" s="13"/>
      <c r="E658" s="13"/>
      <c r="F658" s="13"/>
      <c r="G658" s="36"/>
      <c r="H658" s="36"/>
      <c r="I658" s="36"/>
      <c r="J658" s="36"/>
      <c r="K658" s="36"/>
      <c r="L658" s="36"/>
      <c r="M658" s="36"/>
      <c r="N658" s="13"/>
      <c r="O658" s="202"/>
      <c r="P658" s="36"/>
      <c r="Q658" s="52"/>
      <c r="R658" s="52"/>
      <c r="S658" s="52"/>
      <c r="U658" s="202"/>
      <c r="V658" s="202"/>
      <c r="W658" s="202"/>
      <c r="X658" s="202"/>
      <c r="Y658" s="13"/>
      <c r="Z658" s="36"/>
      <c r="AA658" s="13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289"/>
      <c r="AO658" s="289"/>
      <c r="AP658" s="289"/>
      <c r="AQ658" s="36"/>
      <c r="AR658" s="283"/>
      <c r="AS658" s="13"/>
      <c r="AT658" s="13"/>
      <c r="AU658" s="32"/>
      <c r="AV658" s="277"/>
      <c r="AW658" s="277"/>
      <c r="AX658" s="277"/>
      <c r="AY658" s="280"/>
      <c r="AZ658" s="268"/>
      <c r="BA658" s="268"/>
      <c r="BB658" s="13"/>
      <c r="BC658" s="36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</row>
    <row r="659" spans="1:73">
      <c r="A659" s="13"/>
      <c r="B659" s="13"/>
      <c r="C659" s="13"/>
      <c r="D659" s="13"/>
      <c r="E659" s="13"/>
      <c r="F659" s="13"/>
      <c r="G659" s="36"/>
      <c r="H659" s="36"/>
      <c r="I659" s="36"/>
      <c r="J659" s="36"/>
      <c r="K659" s="36"/>
      <c r="L659" s="36"/>
      <c r="M659" s="36"/>
      <c r="N659" s="13"/>
      <c r="O659" s="202"/>
      <c r="P659" s="36"/>
      <c r="Q659" s="52"/>
      <c r="R659" s="52"/>
      <c r="S659" s="52"/>
      <c r="U659" s="202"/>
      <c r="V659" s="202"/>
      <c r="W659" s="202"/>
      <c r="X659" s="202"/>
      <c r="Y659" s="13"/>
      <c r="Z659" s="36"/>
      <c r="AA659" s="13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289"/>
      <c r="AO659" s="289"/>
      <c r="AP659" s="289"/>
      <c r="AQ659" s="36"/>
      <c r="AR659" s="283"/>
      <c r="AS659" s="13"/>
      <c r="AT659" s="13"/>
      <c r="AU659" s="32"/>
      <c r="AV659" s="277"/>
      <c r="AW659" s="277"/>
      <c r="AX659" s="277"/>
      <c r="AY659" s="280"/>
      <c r="AZ659" s="268"/>
      <c r="BA659" s="268"/>
      <c r="BB659" s="13"/>
      <c r="BC659" s="36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</row>
    <row r="660" spans="1:73">
      <c r="A660" s="13"/>
      <c r="B660" s="13"/>
      <c r="C660" s="13"/>
      <c r="D660" s="13"/>
      <c r="E660" s="13"/>
      <c r="F660" s="13"/>
      <c r="G660" s="36"/>
      <c r="H660" s="36"/>
      <c r="I660" s="36"/>
      <c r="J660" s="36"/>
      <c r="K660" s="36"/>
      <c r="L660" s="36"/>
      <c r="M660" s="36"/>
      <c r="N660" s="13"/>
      <c r="O660" s="202"/>
      <c r="P660" s="36"/>
      <c r="Q660" s="52"/>
      <c r="R660" s="52"/>
      <c r="S660" s="52"/>
      <c r="U660" s="202"/>
      <c r="V660" s="202"/>
      <c r="W660" s="202"/>
      <c r="X660" s="202"/>
      <c r="Y660" s="13"/>
      <c r="Z660" s="36"/>
      <c r="AA660" s="13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289"/>
      <c r="AO660" s="289"/>
      <c r="AP660" s="289"/>
      <c r="AQ660" s="36"/>
      <c r="AR660" s="283"/>
      <c r="AS660" s="13"/>
      <c r="AT660" s="13"/>
      <c r="AU660" s="32"/>
      <c r="AV660" s="277"/>
      <c r="AW660" s="277"/>
      <c r="AX660" s="277"/>
      <c r="AY660" s="280"/>
      <c r="AZ660" s="268"/>
      <c r="BA660" s="268"/>
      <c r="BB660" s="13"/>
      <c r="BC660" s="36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</row>
    <row r="661" spans="1:73">
      <c r="A661" s="13"/>
      <c r="B661" s="13"/>
      <c r="C661" s="13"/>
      <c r="D661" s="13"/>
      <c r="E661" s="13"/>
      <c r="F661" s="13"/>
      <c r="G661" s="36"/>
      <c r="H661" s="36"/>
      <c r="I661" s="36"/>
      <c r="J661" s="36"/>
      <c r="K661" s="36"/>
      <c r="L661" s="36"/>
      <c r="M661" s="36"/>
      <c r="N661" s="13"/>
      <c r="O661" s="202"/>
      <c r="P661" s="36"/>
      <c r="Q661" s="52"/>
      <c r="R661" s="52"/>
      <c r="S661" s="52"/>
      <c r="U661" s="202"/>
      <c r="V661" s="202"/>
      <c r="W661" s="202"/>
      <c r="X661" s="202"/>
      <c r="Y661" s="13"/>
      <c r="Z661" s="36"/>
      <c r="AA661" s="13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289"/>
      <c r="AO661" s="289"/>
      <c r="AP661" s="289"/>
      <c r="AQ661" s="36"/>
      <c r="AR661" s="283"/>
      <c r="AS661" s="13"/>
      <c r="AT661" s="13"/>
      <c r="AU661" s="32"/>
      <c r="AV661" s="277"/>
      <c r="AW661" s="277"/>
      <c r="AX661" s="277"/>
      <c r="AY661" s="280"/>
      <c r="AZ661" s="268"/>
      <c r="BA661" s="268"/>
      <c r="BB661" s="13"/>
      <c r="BC661" s="36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</row>
    <row r="662" spans="1:73">
      <c r="A662" s="13"/>
      <c r="B662" s="13"/>
      <c r="C662" s="13"/>
      <c r="D662" s="13"/>
      <c r="E662" s="13"/>
      <c r="F662" s="13"/>
      <c r="G662" s="36"/>
      <c r="H662" s="36"/>
      <c r="I662" s="36"/>
      <c r="J662" s="36"/>
      <c r="K662" s="36"/>
      <c r="L662" s="36"/>
      <c r="M662" s="36"/>
      <c r="N662" s="13"/>
      <c r="O662" s="202"/>
      <c r="P662" s="36"/>
      <c r="Q662" s="52"/>
      <c r="R662" s="52"/>
      <c r="S662" s="52"/>
      <c r="U662" s="202"/>
      <c r="V662" s="202"/>
      <c r="W662" s="202"/>
      <c r="X662" s="202"/>
      <c r="Y662" s="13"/>
      <c r="Z662" s="36"/>
      <c r="AA662" s="13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289"/>
      <c r="AO662" s="289"/>
      <c r="AP662" s="289"/>
      <c r="AQ662" s="36"/>
      <c r="AR662" s="283"/>
      <c r="AS662" s="13"/>
      <c r="AT662" s="13"/>
      <c r="AU662" s="32"/>
      <c r="AV662" s="277"/>
      <c r="AW662" s="277"/>
      <c r="AX662" s="277"/>
      <c r="AY662" s="280"/>
      <c r="AZ662" s="268"/>
      <c r="BA662" s="268"/>
      <c r="BB662" s="13"/>
      <c r="BC662" s="36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</row>
    <row r="663" spans="1:73">
      <c r="A663" s="13"/>
      <c r="B663" s="13"/>
      <c r="C663" s="13"/>
      <c r="D663" s="13"/>
      <c r="E663" s="13"/>
      <c r="F663" s="13"/>
      <c r="G663" s="36"/>
      <c r="H663" s="36"/>
      <c r="I663" s="36"/>
      <c r="J663" s="36"/>
      <c r="K663" s="36"/>
      <c r="L663" s="36"/>
      <c r="M663" s="36"/>
      <c r="N663" s="13"/>
      <c r="O663" s="202"/>
      <c r="P663" s="36"/>
      <c r="Q663" s="52"/>
      <c r="R663" s="52"/>
      <c r="S663" s="52"/>
      <c r="U663" s="202"/>
      <c r="V663" s="202"/>
      <c r="W663" s="202"/>
      <c r="X663" s="202"/>
      <c r="Y663" s="13"/>
      <c r="Z663" s="36"/>
      <c r="AA663" s="13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289"/>
      <c r="AO663" s="289"/>
      <c r="AP663" s="289"/>
      <c r="AQ663" s="36"/>
      <c r="AR663" s="283"/>
      <c r="AS663" s="13"/>
      <c r="AT663" s="13"/>
      <c r="AU663" s="32"/>
      <c r="AV663" s="277"/>
      <c r="AW663" s="277"/>
      <c r="AX663" s="277"/>
      <c r="AY663" s="280"/>
      <c r="AZ663" s="268"/>
      <c r="BA663" s="268"/>
      <c r="BB663" s="13"/>
      <c r="BC663" s="36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</row>
    <row r="664" spans="1:73">
      <c r="A664" s="13"/>
      <c r="B664" s="13"/>
      <c r="C664" s="13"/>
      <c r="D664" s="13"/>
      <c r="E664" s="13"/>
      <c r="F664" s="13"/>
      <c r="G664" s="36"/>
      <c r="H664" s="36"/>
      <c r="I664" s="36"/>
      <c r="J664" s="36"/>
      <c r="K664" s="36"/>
      <c r="L664" s="36"/>
      <c r="M664" s="36"/>
      <c r="N664" s="13"/>
      <c r="O664" s="202"/>
      <c r="P664" s="36"/>
      <c r="Q664" s="52"/>
      <c r="R664" s="52"/>
      <c r="S664" s="52"/>
      <c r="U664" s="202"/>
      <c r="V664" s="202"/>
      <c r="W664" s="202"/>
      <c r="X664" s="202"/>
      <c r="Y664" s="13"/>
      <c r="Z664" s="36"/>
      <c r="AA664" s="13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289"/>
      <c r="AO664" s="289"/>
      <c r="AP664" s="289"/>
      <c r="AQ664" s="36"/>
      <c r="AR664" s="283"/>
      <c r="AS664" s="13"/>
      <c r="AT664" s="13"/>
      <c r="AU664" s="32"/>
      <c r="AV664" s="277"/>
      <c r="AW664" s="277"/>
      <c r="AX664" s="277"/>
      <c r="AY664" s="280"/>
      <c r="AZ664" s="268"/>
      <c r="BA664" s="268"/>
      <c r="BB664" s="13"/>
      <c r="BC664" s="36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</row>
    <row r="665" spans="1:73">
      <c r="A665" s="13"/>
      <c r="B665" s="13"/>
      <c r="C665" s="13"/>
      <c r="D665" s="13"/>
      <c r="E665" s="13"/>
      <c r="F665" s="13"/>
      <c r="G665" s="36"/>
      <c r="H665" s="36"/>
      <c r="I665" s="36"/>
      <c r="J665" s="36"/>
      <c r="K665" s="36"/>
      <c r="L665" s="36"/>
      <c r="M665" s="36"/>
      <c r="N665" s="13"/>
      <c r="O665" s="202"/>
      <c r="P665" s="36"/>
      <c r="Q665" s="52"/>
      <c r="R665" s="52"/>
      <c r="S665" s="52"/>
      <c r="U665" s="202"/>
      <c r="V665" s="202"/>
      <c r="W665" s="202"/>
      <c r="X665" s="202"/>
      <c r="Y665" s="13"/>
      <c r="Z665" s="36"/>
      <c r="AA665" s="13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289"/>
      <c r="AO665" s="289"/>
      <c r="AP665" s="289"/>
      <c r="AQ665" s="36"/>
      <c r="AR665" s="283"/>
      <c r="AS665" s="13"/>
      <c r="AT665" s="13"/>
      <c r="AU665" s="32"/>
      <c r="AV665" s="277"/>
      <c r="AW665" s="277"/>
      <c r="AX665" s="277"/>
      <c r="AY665" s="280"/>
      <c r="AZ665" s="268"/>
      <c r="BA665" s="268"/>
      <c r="BB665" s="13"/>
      <c r="BC665" s="36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</row>
    <row r="666" spans="1:73">
      <c r="A666" s="13"/>
      <c r="B666" s="13"/>
      <c r="C666" s="13"/>
      <c r="D666" s="13"/>
      <c r="E666" s="13"/>
      <c r="F666" s="13"/>
      <c r="G666" s="36"/>
      <c r="H666" s="36"/>
      <c r="I666" s="36"/>
      <c r="J666" s="36"/>
      <c r="K666" s="36"/>
      <c r="L666" s="36"/>
      <c r="M666" s="36"/>
      <c r="N666" s="13"/>
      <c r="O666" s="202"/>
      <c r="P666" s="36"/>
      <c r="Q666" s="52"/>
      <c r="R666" s="52"/>
      <c r="S666" s="52"/>
      <c r="U666" s="202"/>
      <c r="V666" s="202"/>
      <c r="W666" s="202"/>
      <c r="X666" s="202"/>
      <c r="Y666" s="13"/>
      <c r="Z666" s="36"/>
      <c r="AA666" s="13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289"/>
      <c r="AO666" s="289"/>
      <c r="AP666" s="289"/>
      <c r="AQ666" s="36"/>
      <c r="AR666" s="283"/>
      <c r="AS666" s="13"/>
      <c r="AT666" s="13"/>
      <c r="AU666" s="32"/>
      <c r="AV666" s="277"/>
      <c r="AW666" s="277"/>
      <c r="AX666" s="277"/>
      <c r="AY666" s="280"/>
      <c r="AZ666" s="268"/>
      <c r="BA666" s="268"/>
      <c r="BB666" s="13"/>
      <c r="BC666" s="36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</row>
    <row r="667" spans="1:73">
      <c r="A667" s="13"/>
      <c r="B667" s="13"/>
      <c r="C667" s="13"/>
      <c r="D667" s="13"/>
      <c r="E667" s="13"/>
      <c r="F667" s="13"/>
      <c r="G667" s="36"/>
      <c r="H667" s="36"/>
      <c r="I667" s="36"/>
      <c r="J667" s="36"/>
      <c r="K667" s="36"/>
      <c r="L667" s="36"/>
      <c r="M667" s="36"/>
      <c r="N667" s="13"/>
      <c r="O667" s="202"/>
      <c r="P667" s="36"/>
      <c r="Q667" s="52"/>
      <c r="R667" s="52"/>
      <c r="S667" s="52"/>
      <c r="U667" s="202"/>
      <c r="V667" s="202"/>
      <c r="W667" s="202"/>
      <c r="X667" s="202"/>
      <c r="Y667" s="13"/>
      <c r="Z667" s="36"/>
      <c r="AA667" s="13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289"/>
      <c r="AO667" s="289"/>
      <c r="AP667" s="289"/>
      <c r="AQ667" s="36"/>
      <c r="AR667" s="283"/>
      <c r="AS667" s="13"/>
      <c r="AT667" s="13"/>
      <c r="AU667" s="32"/>
      <c r="AV667" s="277"/>
      <c r="AW667" s="277"/>
      <c r="AX667" s="277"/>
      <c r="AY667" s="280"/>
      <c r="AZ667" s="268"/>
      <c r="BA667" s="268"/>
      <c r="BB667" s="13"/>
      <c r="BC667" s="36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</row>
    <row r="668" spans="1:73">
      <c r="A668" s="13"/>
      <c r="B668" s="13"/>
      <c r="C668" s="13"/>
      <c r="D668" s="13"/>
      <c r="E668" s="13"/>
      <c r="F668" s="13"/>
      <c r="G668" s="36"/>
      <c r="H668" s="36"/>
      <c r="I668" s="36"/>
      <c r="J668" s="36"/>
      <c r="K668" s="36"/>
      <c r="L668" s="36"/>
      <c r="M668" s="36"/>
      <c r="N668" s="13"/>
      <c r="O668" s="202"/>
      <c r="P668" s="36"/>
      <c r="Q668" s="52"/>
      <c r="R668" s="52"/>
      <c r="S668" s="52"/>
      <c r="U668" s="202"/>
      <c r="V668" s="202"/>
      <c r="W668" s="202"/>
      <c r="X668" s="202"/>
      <c r="Y668" s="13"/>
      <c r="Z668" s="36"/>
      <c r="AA668" s="13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289"/>
      <c r="AO668" s="289"/>
      <c r="AP668" s="289"/>
      <c r="AQ668" s="36"/>
      <c r="AR668" s="283"/>
      <c r="AS668" s="13"/>
      <c r="AT668" s="13"/>
      <c r="AU668" s="32"/>
      <c r="AV668" s="277"/>
      <c r="AW668" s="277"/>
      <c r="AX668" s="277"/>
      <c r="AY668" s="280"/>
      <c r="AZ668" s="268"/>
      <c r="BA668" s="268"/>
      <c r="BB668" s="13"/>
      <c r="BC668" s="36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</row>
    <row r="669" spans="1:73">
      <c r="A669" s="13"/>
      <c r="B669" s="13"/>
      <c r="C669" s="13"/>
      <c r="D669" s="13"/>
      <c r="E669" s="13"/>
      <c r="F669" s="13"/>
      <c r="G669" s="36"/>
      <c r="H669" s="36"/>
      <c r="I669" s="36"/>
      <c r="J669" s="36"/>
      <c r="K669" s="36"/>
      <c r="L669" s="36"/>
      <c r="M669" s="36"/>
      <c r="N669" s="13"/>
      <c r="O669" s="202"/>
      <c r="P669" s="36"/>
      <c r="Q669" s="52"/>
      <c r="R669" s="52"/>
      <c r="S669" s="52"/>
      <c r="U669" s="202"/>
      <c r="V669" s="202"/>
      <c r="W669" s="202"/>
      <c r="X669" s="202"/>
      <c r="Y669" s="13"/>
      <c r="Z669" s="36"/>
      <c r="AA669" s="13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289"/>
      <c r="AO669" s="289"/>
      <c r="AP669" s="289"/>
      <c r="AQ669" s="36"/>
      <c r="AR669" s="283"/>
      <c r="AS669" s="13"/>
      <c r="AT669" s="13"/>
      <c r="AU669" s="32"/>
      <c r="AV669" s="277"/>
      <c r="AW669" s="277"/>
      <c r="AX669" s="277"/>
      <c r="AY669" s="280"/>
      <c r="AZ669" s="268"/>
      <c r="BA669" s="268"/>
      <c r="BB669" s="13"/>
      <c r="BC669" s="36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</row>
    <row r="670" spans="1:73">
      <c r="A670" s="13"/>
      <c r="B670" s="13"/>
      <c r="C670" s="13"/>
      <c r="D670" s="13"/>
      <c r="E670" s="13"/>
      <c r="F670" s="13"/>
      <c r="G670" s="36"/>
      <c r="H670" s="36"/>
      <c r="I670" s="36"/>
      <c r="J670" s="36"/>
      <c r="K670" s="36"/>
      <c r="L670" s="36"/>
      <c r="M670" s="36"/>
      <c r="N670" s="13"/>
      <c r="O670" s="202"/>
      <c r="P670" s="36"/>
      <c r="Q670" s="52"/>
      <c r="R670" s="52"/>
      <c r="S670" s="52"/>
      <c r="U670" s="202"/>
      <c r="V670" s="202"/>
      <c r="W670" s="202"/>
      <c r="X670" s="202"/>
      <c r="Y670" s="13"/>
      <c r="Z670" s="36"/>
      <c r="AA670" s="13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289"/>
      <c r="AO670" s="289"/>
      <c r="AP670" s="289"/>
      <c r="AQ670" s="36"/>
      <c r="AR670" s="283"/>
      <c r="AS670" s="13"/>
      <c r="AT670" s="13"/>
      <c r="AU670" s="32"/>
      <c r="AV670" s="277"/>
      <c r="AW670" s="277"/>
      <c r="AX670" s="277"/>
      <c r="AY670" s="280"/>
      <c r="AZ670" s="268"/>
      <c r="BA670" s="268"/>
      <c r="BB670" s="13"/>
      <c r="BC670" s="36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</row>
    <row r="671" spans="1:73">
      <c r="A671" s="13"/>
      <c r="B671" s="13"/>
      <c r="C671" s="13"/>
      <c r="D671" s="13"/>
      <c r="E671" s="13"/>
      <c r="F671" s="13"/>
      <c r="G671" s="36"/>
      <c r="H671" s="36"/>
      <c r="I671" s="36"/>
      <c r="J671" s="36"/>
      <c r="K671" s="36"/>
      <c r="L671" s="36"/>
      <c r="M671" s="36"/>
      <c r="N671" s="13"/>
      <c r="O671" s="202"/>
      <c r="P671" s="36"/>
      <c r="Q671" s="52"/>
      <c r="R671" s="52"/>
      <c r="S671" s="52"/>
      <c r="U671" s="202"/>
      <c r="V671" s="202"/>
      <c r="W671" s="202"/>
      <c r="X671" s="202"/>
      <c r="Y671" s="13"/>
      <c r="Z671" s="36"/>
      <c r="AA671" s="13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289"/>
      <c r="AO671" s="289"/>
      <c r="AP671" s="289"/>
      <c r="AQ671" s="36"/>
      <c r="AR671" s="283"/>
      <c r="AS671" s="13"/>
      <c r="AT671" s="13"/>
      <c r="AU671" s="32"/>
      <c r="AV671" s="277"/>
      <c r="AW671" s="277"/>
      <c r="AX671" s="277"/>
      <c r="AY671" s="280"/>
      <c r="AZ671" s="268"/>
      <c r="BA671" s="268"/>
      <c r="BB671" s="13"/>
      <c r="BC671" s="36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</row>
    <row r="672" spans="1:73">
      <c r="A672" s="13"/>
      <c r="B672" s="13"/>
      <c r="C672" s="13"/>
      <c r="D672" s="13"/>
      <c r="E672" s="13"/>
      <c r="F672" s="13"/>
      <c r="G672" s="36"/>
      <c r="H672" s="36"/>
      <c r="I672" s="36"/>
      <c r="J672" s="36"/>
      <c r="K672" s="36"/>
      <c r="L672" s="36"/>
      <c r="M672" s="36"/>
      <c r="N672" s="13"/>
      <c r="O672" s="202"/>
      <c r="P672" s="36"/>
      <c r="Q672" s="52"/>
      <c r="R672" s="52"/>
      <c r="S672" s="52"/>
      <c r="U672" s="202"/>
      <c r="V672" s="202"/>
      <c r="W672" s="202"/>
      <c r="X672" s="202"/>
      <c r="Y672" s="13"/>
      <c r="Z672" s="36"/>
      <c r="AA672" s="13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289"/>
      <c r="AO672" s="289"/>
      <c r="AP672" s="289"/>
      <c r="AQ672" s="36"/>
      <c r="AR672" s="283"/>
      <c r="AS672" s="13"/>
      <c r="AT672" s="13"/>
      <c r="AU672" s="32"/>
      <c r="AV672" s="277"/>
      <c r="AW672" s="277"/>
      <c r="AX672" s="277"/>
      <c r="AY672" s="280"/>
      <c r="AZ672" s="268"/>
      <c r="BA672" s="268"/>
      <c r="BB672" s="13"/>
      <c r="BC672" s="36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</row>
    <row r="673" spans="1:73">
      <c r="A673" s="13"/>
      <c r="B673" s="13"/>
      <c r="C673" s="13"/>
      <c r="D673" s="13"/>
      <c r="E673" s="13"/>
      <c r="F673" s="13"/>
      <c r="G673" s="36"/>
      <c r="H673" s="36"/>
      <c r="I673" s="36"/>
      <c r="J673" s="36"/>
      <c r="K673" s="36"/>
      <c r="L673" s="36"/>
      <c r="M673" s="36"/>
      <c r="N673" s="13"/>
      <c r="O673" s="202"/>
      <c r="P673" s="36"/>
      <c r="Q673" s="52"/>
      <c r="R673" s="52"/>
      <c r="S673" s="52"/>
      <c r="U673" s="202"/>
      <c r="V673" s="202"/>
      <c r="W673" s="202"/>
      <c r="X673" s="202"/>
      <c r="Y673" s="13"/>
      <c r="Z673" s="36"/>
      <c r="AA673" s="13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289"/>
      <c r="AO673" s="289"/>
      <c r="AP673" s="289"/>
      <c r="AQ673" s="36"/>
      <c r="AR673" s="283"/>
      <c r="AS673" s="13"/>
      <c r="AT673" s="13"/>
      <c r="AU673" s="32"/>
      <c r="AV673" s="277"/>
      <c r="AW673" s="277"/>
      <c r="AX673" s="277"/>
      <c r="AY673" s="280"/>
      <c r="AZ673" s="268"/>
      <c r="BA673" s="268"/>
      <c r="BB673" s="13"/>
      <c r="BC673" s="36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</row>
    <row r="674" spans="1:73">
      <c r="A674" s="13"/>
      <c r="B674" s="13"/>
      <c r="C674" s="13"/>
      <c r="D674" s="13"/>
      <c r="E674" s="13"/>
      <c r="F674" s="13"/>
      <c r="G674" s="36"/>
      <c r="H674" s="36"/>
      <c r="I674" s="36"/>
      <c r="J674" s="36"/>
      <c r="K674" s="36"/>
      <c r="L674" s="36"/>
      <c r="M674" s="36"/>
      <c r="N674" s="13"/>
      <c r="O674" s="202"/>
      <c r="P674" s="36"/>
      <c r="Q674" s="52"/>
      <c r="R674" s="52"/>
      <c r="S674" s="52"/>
      <c r="U674" s="202"/>
      <c r="V674" s="202"/>
      <c r="W674" s="202"/>
      <c r="X674" s="202"/>
      <c r="Y674" s="13"/>
      <c r="Z674" s="36"/>
      <c r="AA674" s="13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289"/>
      <c r="AO674" s="289"/>
      <c r="AP674" s="289"/>
      <c r="AQ674" s="36"/>
      <c r="AR674" s="283"/>
      <c r="AS674" s="13"/>
      <c r="AT674" s="13"/>
      <c r="AU674" s="32"/>
      <c r="AV674" s="277"/>
      <c r="AW674" s="277"/>
      <c r="AX674" s="277"/>
      <c r="AY674" s="280"/>
      <c r="AZ674" s="268"/>
      <c r="BA674" s="268"/>
      <c r="BB674" s="13"/>
      <c r="BC674" s="36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</row>
    <row r="675" spans="1:73">
      <c r="A675" s="13"/>
      <c r="B675" s="13"/>
      <c r="C675" s="13"/>
      <c r="D675" s="13"/>
      <c r="E675" s="13"/>
      <c r="F675" s="13"/>
      <c r="G675" s="36"/>
      <c r="H675" s="36"/>
      <c r="I675" s="36"/>
      <c r="J675" s="36"/>
      <c r="K675" s="36"/>
      <c r="L675" s="36"/>
      <c r="M675" s="36"/>
      <c r="N675" s="13"/>
      <c r="O675" s="202"/>
      <c r="P675" s="36"/>
      <c r="Q675" s="52"/>
      <c r="R675" s="52"/>
      <c r="S675" s="52"/>
      <c r="U675" s="202"/>
      <c r="V675" s="202"/>
      <c r="W675" s="202"/>
      <c r="X675" s="202"/>
      <c r="Y675" s="13"/>
      <c r="Z675" s="36"/>
      <c r="AA675" s="13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289"/>
      <c r="AO675" s="289"/>
      <c r="AP675" s="289"/>
      <c r="AQ675" s="36"/>
      <c r="AR675" s="283"/>
      <c r="AS675" s="13"/>
      <c r="AT675" s="13"/>
      <c r="AU675" s="32"/>
      <c r="AV675" s="277"/>
      <c r="AW675" s="277"/>
      <c r="AX675" s="277"/>
      <c r="AY675" s="280"/>
      <c r="AZ675" s="268"/>
      <c r="BA675" s="268"/>
      <c r="BB675" s="13"/>
      <c r="BC675" s="36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</row>
    <row r="676" spans="1:73">
      <c r="A676" s="13"/>
      <c r="B676" s="13"/>
      <c r="C676" s="13"/>
      <c r="D676" s="13"/>
      <c r="E676" s="13"/>
      <c r="F676" s="13"/>
      <c r="G676" s="36"/>
      <c r="H676" s="36"/>
      <c r="I676" s="36"/>
      <c r="J676" s="36"/>
      <c r="K676" s="36"/>
      <c r="L676" s="36"/>
      <c r="M676" s="36"/>
      <c r="N676" s="13"/>
      <c r="O676" s="202"/>
      <c r="P676" s="36"/>
      <c r="Q676" s="52"/>
      <c r="R676" s="52"/>
      <c r="S676" s="52"/>
      <c r="U676" s="202"/>
      <c r="V676" s="202"/>
      <c r="W676" s="202"/>
      <c r="X676" s="202"/>
      <c r="Y676" s="13"/>
      <c r="Z676" s="36"/>
      <c r="AA676" s="13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289"/>
      <c r="AO676" s="289"/>
      <c r="AP676" s="289"/>
      <c r="AQ676" s="36"/>
      <c r="AR676" s="283"/>
      <c r="AS676" s="13"/>
      <c r="AT676" s="13"/>
      <c r="AU676" s="32"/>
      <c r="AV676" s="277"/>
      <c r="AW676" s="277"/>
      <c r="AX676" s="277"/>
      <c r="AY676" s="280"/>
      <c r="AZ676" s="268"/>
      <c r="BA676" s="268"/>
      <c r="BB676" s="13"/>
      <c r="BC676" s="36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</row>
    <row r="677" spans="1:73">
      <c r="A677" s="13"/>
      <c r="B677" s="13"/>
      <c r="C677" s="13"/>
      <c r="D677" s="13"/>
      <c r="E677" s="13"/>
      <c r="F677" s="13"/>
      <c r="G677" s="36"/>
      <c r="H677" s="36"/>
      <c r="I677" s="36"/>
      <c r="J677" s="36"/>
      <c r="K677" s="36"/>
      <c r="L677" s="36"/>
      <c r="M677" s="36"/>
      <c r="N677" s="13"/>
      <c r="O677" s="202"/>
      <c r="P677" s="36"/>
      <c r="Q677" s="52"/>
      <c r="R677" s="52"/>
      <c r="S677" s="52"/>
      <c r="U677" s="202"/>
      <c r="V677" s="202"/>
      <c r="W677" s="202"/>
      <c r="X677" s="202"/>
      <c r="Y677" s="13"/>
      <c r="Z677" s="36"/>
      <c r="AA677" s="13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289"/>
      <c r="AO677" s="289"/>
      <c r="AP677" s="289"/>
      <c r="AQ677" s="36"/>
      <c r="AR677" s="283"/>
      <c r="AS677" s="13"/>
      <c r="AT677" s="13"/>
      <c r="AU677" s="32"/>
      <c r="AV677" s="277"/>
      <c r="AW677" s="277"/>
      <c r="AX677" s="277"/>
      <c r="AY677" s="280"/>
      <c r="AZ677" s="268"/>
      <c r="BA677" s="268"/>
      <c r="BB677" s="13"/>
      <c r="BC677" s="36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</row>
    <row r="678" spans="1:73">
      <c r="A678" s="13"/>
      <c r="B678" s="13"/>
      <c r="C678" s="13"/>
      <c r="D678" s="13"/>
      <c r="E678" s="13"/>
      <c r="F678" s="13"/>
      <c r="G678" s="36"/>
      <c r="H678" s="36"/>
      <c r="I678" s="36"/>
      <c r="J678" s="36"/>
      <c r="K678" s="36"/>
      <c r="L678" s="36"/>
      <c r="M678" s="36"/>
      <c r="N678" s="13"/>
      <c r="O678" s="202"/>
      <c r="P678" s="36"/>
      <c r="Q678" s="52"/>
      <c r="R678" s="52"/>
      <c r="S678" s="52"/>
      <c r="U678" s="202"/>
      <c r="V678" s="202"/>
      <c r="W678" s="202"/>
      <c r="X678" s="202"/>
      <c r="Y678" s="13"/>
      <c r="Z678" s="36"/>
      <c r="AA678" s="13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289"/>
      <c r="AO678" s="289"/>
      <c r="AP678" s="289"/>
      <c r="AQ678" s="36"/>
      <c r="AR678" s="283"/>
      <c r="AS678" s="13"/>
      <c r="AT678" s="13"/>
      <c r="AU678" s="32"/>
      <c r="AV678" s="277"/>
      <c r="AW678" s="277"/>
      <c r="AX678" s="277"/>
      <c r="AY678" s="280"/>
      <c r="AZ678" s="268"/>
      <c r="BA678" s="268"/>
      <c r="BB678" s="13"/>
      <c r="BC678" s="36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</row>
    <row r="679" spans="1:73">
      <c r="A679" s="13"/>
      <c r="B679" s="13"/>
      <c r="C679" s="13"/>
      <c r="D679" s="13"/>
      <c r="E679" s="13"/>
      <c r="F679" s="13"/>
      <c r="G679" s="36"/>
      <c r="H679" s="36"/>
      <c r="I679" s="36"/>
      <c r="J679" s="36"/>
      <c r="K679" s="36"/>
      <c r="L679" s="36"/>
      <c r="M679" s="36"/>
      <c r="N679" s="13"/>
      <c r="O679" s="202"/>
      <c r="P679" s="36"/>
      <c r="Q679" s="52"/>
      <c r="R679" s="52"/>
      <c r="S679" s="52"/>
      <c r="U679" s="202"/>
      <c r="V679" s="202"/>
      <c r="W679" s="202"/>
      <c r="X679" s="202"/>
      <c r="Y679" s="13"/>
      <c r="Z679" s="36"/>
      <c r="AA679" s="13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289"/>
      <c r="AO679" s="289"/>
      <c r="AP679" s="289"/>
      <c r="AQ679" s="36"/>
      <c r="AR679" s="283"/>
      <c r="AS679" s="13"/>
      <c r="AT679" s="13"/>
      <c r="AU679" s="32"/>
      <c r="AV679" s="277"/>
      <c r="AW679" s="277"/>
      <c r="AX679" s="277"/>
      <c r="AY679" s="280"/>
      <c r="AZ679" s="268"/>
      <c r="BA679" s="268"/>
      <c r="BB679" s="13"/>
      <c r="BC679" s="36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</row>
    <row r="680" spans="1:73">
      <c r="A680" s="13"/>
      <c r="B680" s="13"/>
      <c r="C680" s="13"/>
      <c r="D680" s="13"/>
      <c r="E680" s="13"/>
      <c r="F680" s="13"/>
      <c r="G680" s="36"/>
      <c r="H680" s="36"/>
      <c r="I680" s="36"/>
      <c r="J680" s="36"/>
      <c r="K680" s="36"/>
      <c r="L680" s="36"/>
      <c r="M680" s="36"/>
      <c r="N680" s="13"/>
      <c r="O680" s="202"/>
      <c r="P680" s="36"/>
      <c r="Q680" s="52"/>
      <c r="R680" s="52"/>
      <c r="S680" s="52"/>
      <c r="U680" s="202"/>
      <c r="V680" s="202"/>
      <c r="W680" s="202"/>
      <c r="X680" s="202"/>
      <c r="Y680" s="13"/>
      <c r="Z680" s="36"/>
      <c r="AA680" s="13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289"/>
      <c r="AO680" s="289"/>
      <c r="AP680" s="289"/>
      <c r="AQ680" s="36"/>
      <c r="AR680" s="283"/>
      <c r="AS680" s="13"/>
      <c r="AT680" s="13"/>
      <c r="AU680" s="32"/>
      <c r="AV680" s="277"/>
      <c r="AW680" s="277"/>
      <c r="AX680" s="277"/>
      <c r="AY680" s="280"/>
      <c r="AZ680" s="268"/>
      <c r="BA680" s="268"/>
      <c r="BB680" s="13"/>
      <c r="BC680" s="36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</row>
    <row r="681" spans="1:73">
      <c r="A681" s="13"/>
      <c r="B681" s="13"/>
      <c r="C681" s="13"/>
      <c r="D681" s="13"/>
      <c r="E681" s="13"/>
      <c r="F681" s="13"/>
      <c r="G681" s="36"/>
      <c r="H681" s="36"/>
      <c r="I681" s="36"/>
      <c r="J681" s="36"/>
      <c r="K681" s="36"/>
      <c r="L681" s="36"/>
      <c r="M681" s="36"/>
      <c r="N681" s="13"/>
      <c r="O681" s="202"/>
      <c r="P681" s="36"/>
      <c r="Q681" s="52"/>
      <c r="R681" s="52"/>
      <c r="S681" s="52"/>
      <c r="U681" s="202"/>
      <c r="V681" s="202"/>
      <c r="W681" s="202"/>
      <c r="X681" s="202"/>
      <c r="Y681" s="13"/>
      <c r="Z681" s="36"/>
      <c r="AA681" s="13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289"/>
      <c r="AO681" s="289"/>
      <c r="AP681" s="289"/>
      <c r="AQ681" s="36"/>
      <c r="AR681" s="283"/>
      <c r="AS681" s="13"/>
      <c r="AT681" s="13"/>
      <c r="AU681" s="32"/>
      <c r="AV681" s="277"/>
      <c r="AW681" s="277"/>
      <c r="AX681" s="277"/>
      <c r="AY681" s="280"/>
      <c r="AZ681" s="268"/>
      <c r="BA681" s="268"/>
      <c r="BB681" s="13"/>
      <c r="BC681" s="36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</row>
    <row r="682" spans="1:73">
      <c r="A682" s="13"/>
      <c r="B682" s="13"/>
      <c r="C682" s="13"/>
      <c r="D682" s="13"/>
      <c r="E682" s="13"/>
      <c r="F682" s="13"/>
      <c r="G682" s="36"/>
      <c r="H682" s="36"/>
      <c r="I682" s="36"/>
      <c r="J682" s="36"/>
      <c r="K682" s="36"/>
      <c r="L682" s="36"/>
      <c r="M682" s="36"/>
      <c r="N682" s="13"/>
      <c r="O682" s="202"/>
      <c r="P682" s="36"/>
      <c r="Q682" s="52"/>
      <c r="R682" s="52"/>
      <c r="S682" s="52"/>
      <c r="U682" s="202"/>
      <c r="V682" s="202"/>
      <c r="W682" s="202"/>
      <c r="X682" s="202"/>
      <c r="Y682" s="13"/>
      <c r="Z682" s="36"/>
      <c r="AA682" s="13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289"/>
      <c r="AO682" s="289"/>
      <c r="AP682" s="289"/>
      <c r="AQ682" s="36"/>
      <c r="AR682" s="283"/>
      <c r="AS682" s="13"/>
      <c r="AT682" s="13"/>
      <c r="AU682" s="32"/>
      <c r="AV682" s="277"/>
      <c r="AW682" s="277"/>
      <c r="AX682" s="277"/>
      <c r="AY682" s="280"/>
      <c r="AZ682" s="268"/>
      <c r="BA682" s="268"/>
      <c r="BB682" s="13"/>
      <c r="BC682" s="36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</row>
    <row r="683" spans="1:73">
      <c r="A683" s="13"/>
      <c r="B683" s="13"/>
      <c r="C683" s="13"/>
      <c r="D683" s="13"/>
      <c r="E683" s="13"/>
      <c r="F683" s="13"/>
      <c r="G683" s="36"/>
      <c r="H683" s="36"/>
      <c r="I683" s="36"/>
      <c r="J683" s="36"/>
      <c r="K683" s="36"/>
      <c r="L683" s="36"/>
      <c r="M683" s="36"/>
      <c r="N683" s="13"/>
      <c r="O683" s="202"/>
      <c r="P683" s="36"/>
      <c r="Q683" s="52"/>
      <c r="R683" s="52"/>
      <c r="S683" s="52"/>
      <c r="U683" s="202"/>
      <c r="V683" s="202"/>
      <c r="W683" s="202"/>
      <c r="X683" s="202"/>
      <c r="Y683" s="13"/>
      <c r="Z683" s="36"/>
      <c r="AA683" s="13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289"/>
      <c r="AO683" s="289"/>
      <c r="AP683" s="289"/>
      <c r="AQ683" s="36"/>
      <c r="AR683" s="283"/>
      <c r="AS683" s="13"/>
      <c r="AT683" s="13"/>
      <c r="AU683" s="32"/>
      <c r="AV683" s="277"/>
      <c r="AW683" s="277"/>
      <c r="AX683" s="277"/>
      <c r="AY683" s="280"/>
      <c r="AZ683" s="268"/>
      <c r="BA683" s="268"/>
      <c r="BB683" s="13"/>
      <c r="BC683" s="36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</row>
    <row r="684" spans="1:73">
      <c r="A684" s="13"/>
      <c r="B684" s="13"/>
      <c r="C684" s="13"/>
      <c r="D684" s="13"/>
      <c r="E684" s="13"/>
      <c r="F684" s="13"/>
      <c r="G684" s="36"/>
      <c r="H684" s="36"/>
      <c r="I684" s="36"/>
      <c r="J684" s="36"/>
      <c r="K684" s="36"/>
      <c r="L684" s="36"/>
      <c r="M684" s="36"/>
      <c r="N684" s="13"/>
      <c r="O684" s="202"/>
      <c r="P684" s="36"/>
      <c r="Q684" s="52"/>
      <c r="R684" s="52"/>
      <c r="S684" s="52"/>
      <c r="U684" s="202"/>
      <c r="V684" s="202"/>
      <c r="W684" s="202"/>
      <c r="X684" s="202"/>
      <c r="Y684" s="13"/>
      <c r="Z684" s="36"/>
      <c r="AA684" s="13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289"/>
      <c r="AO684" s="289"/>
      <c r="AP684" s="289"/>
      <c r="AQ684" s="36"/>
      <c r="AR684" s="283"/>
      <c r="AS684" s="13"/>
      <c r="AT684" s="13"/>
      <c r="AU684" s="32"/>
      <c r="AV684" s="277"/>
      <c r="AW684" s="277"/>
      <c r="AX684" s="277"/>
      <c r="AY684" s="280"/>
      <c r="AZ684" s="268"/>
      <c r="BA684" s="268"/>
      <c r="BB684" s="13"/>
      <c r="BC684" s="36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</row>
    <row r="685" spans="1:73">
      <c r="A685" s="13"/>
      <c r="B685" s="13"/>
      <c r="C685" s="13"/>
      <c r="D685" s="13"/>
      <c r="E685" s="13"/>
      <c r="F685" s="13"/>
      <c r="G685" s="36"/>
      <c r="H685" s="36"/>
      <c r="I685" s="36"/>
      <c r="J685" s="36"/>
      <c r="K685" s="36"/>
      <c r="L685" s="36"/>
      <c r="M685" s="36"/>
      <c r="N685" s="13"/>
      <c r="O685" s="202"/>
      <c r="P685" s="36"/>
      <c r="Q685" s="52"/>
      <c r="R685" s="52"/>
      <c r="S685" s="52"/>
      <c r="U685" s="202"/>
      <c r="V685" s="202"/>
      <c r="W685" s="202"/>
      <c r="X685" s="202"/>
      <c r="Y685" s="13"/>
      <c r="Z685" s="36"/>
      <c r="AA685" s="13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289"/>
      <c r="AO685" s="289"/>
      <c r="AP685" s="289"/>
      <c r="AQ685" s="36"/>
      <c r="AR685" s="283"/>
      <c r="AS685" s="13"/>
      <c r="AT685" s="13"/>
      <c r="AU685" s="32"/>
      <c r="AV685" s="277"/>
      <c r="AW685" s="277"/>
      <c r="AX685" s="277"/>
      <c r="AY685" s="280"/>
      <c r="AZ685" s="268"/>
      <c r="BA685" s="268"/>
      <c r="BB685" s="13"/>
      <c r="BC685" s="36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</row>
    <row r="686" spans="1:73">
      <c r="A686" s="13"/>
      <c r="B686" s="13"/>
      <c r="C686" s="13"/>
      <c r="D686" s="13"/>
      <c r="E686" s="13"/>
      <c r="F686" s="13"/>
      <c r="G686" s="36"/>
      <c r="H686" s="36"/>
      <c r="I686" s="36"/>
      <c r="J686" s="36"/>
      <c r="K686" s="36"/>
      <c r="L686" s="36"/>
      <c r="M686" s="36"/>
      <c r="N686" s="13"/>
      <c r="O686" s="202"/>
      <c r="P686" s="36"/>
      <c r="Q686" s="52"/>
      <c r="R686" s="52"/>
      <c r="S686" s="52"/>
      <c r="U686" s="202"/>
      <c r="V686" s="202"/>
      <c r="W686" s="202"/>
      <c r="X686" s="202"/>
      <c r="Y686" s="13"/>
      <c r="Z686" s="36"/>
      <c r="AA686" s="13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289"/>
      <c r="AO686" s="289"/>
      <c r="AP686" s="289"/>
      <c r="AQ686" s="36"/>
      <c r="AR686" s="283"/>
      <c r="AS686" s="13"/>
      <c r="AT686" s="13"/>
      <c r="AU686" s="32"/>
      <c r="AV686" s="277"/>
      <c r="AW686" s="277"/>
      <c r="AX686" s="277"/>
      <c r="AY686" s="280"/>
      <c r="AZ686" s="268"/>
      <c r="BA686" s="268"/>
      <c r="BB686" s="13"/>
      <c r="BC686" s="36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</row>
    <row r="687" spans="1:73">
      <c r="A687" s="13"/>
      <c r="B687" s="13"/>
      <c r="C687" s="13"/>
      <c r="D687" s="13"/>
      <c r="E687" s="13"/>
      <c r="F687" s="13"/>
      <c r="G687" s="36"/>
      <c r="H687" s="36"/>
      <c r="I687" s="36"/>
      <c r="J687" s="36"/>
      <c r="K687" s="36"/>
      <c r="L687" s="36"/>
      <c r="M687" s="36"/>
      <c r="N687" s="13"/>
      <c r="O687" s="202"/>
      <c r="P687" s="36"/>
      <c r="Q687" s="52"/>
      <c r="R687" s="52"/>
      <c r="S687" s="52"/>
      <c r="U687" s="202"/>
      <c r="V687" s="202"/>
      <c r="W687" s="202"/>
      <c r="X687" s="202"/>
      <c r="Y687" s="13"/>
      <c r="Z687" s="36"/>
      <c r="AA687" s="13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289"/>
      <c r="AO687" s="289"/>
      <c r="AP687" s="289"/>
      <c r="AQ687" s="36"/>
      <c r="AR687" s="283"/>
      <c r="AS687" s="13"/>
      <c r="AT687" s="13"/>
      <c r="AU687" s="32"/>
      <c r="AV687" s="277"/>
      <c r="AW687" s="277"/>
      <c r="AX687" s="277"/>
      <c r="AY687" s="280"/>
      <c r="AZ687" s="268"/>
      <c r="BA687" s="268"/>
      <c r="BB687" s="13"/>
      <c r="BC687" s="36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</row>
    <row r="688" spans="1:73">
      <c r="A688" s="13"/>
      <c r="B688" s="13"/>
      <c r="C688" s="13"/>
      <c r="D688" s="13"/>
      <c r="E688" s="13"/>
      <c r="F688" s="13"/>
      <c r="G688" s="36"/>
      <c r="H688" s="36"/>
      <c r="I688" s="36"/>
      <c r="J688" s="36"/>
      <c r="K688" s="36"/>
      <c r="L688" s="36"/>
      <c r="M688" s="36"/>
      <c r="N688" s="13"/>
      <c r="O688" s="202"/>
      <c r="P688" s="36"/>
      <c r="Q688" s="52"/>
      <c r="R688" s="52"/>
      <c r="S688" s="52"/>
      <c r="U688" s="202"/>
      <c r="V688" s="202"/>
      <c r="W688" s="202"/>
      <c r="X688" s="202"/>
      <c r="Y688" s="13"/>
      <c r="Z688" s="36"/>
      <c r="AA688" s="13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289"/>
      <c r="AO688" s="289"/>
      <c r="AP688" s="289"/>
      <c r="AQ688" s="36"/>
      <c r="AR688" s="283"/>
      <c r="AS688" s="13"/>
      <c r="AT688" s="13"/>
      <c r="AU688" s="32"/>
      <c r="AV688" s="277"/>
      <c r="AW688" s="277"/>
      <c r="AX688" s="277"/>
      <c r="AY688" s="280"/>
      <c r="AZ688" s="268"/>
      <c r="BA688" s="268"/>
      <c r="BB688" s="13"/>
      <c r="BC688" s="36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</row>
    <row r="689" spans="1:73">
      <c r="A689" s="13"/>
      <c r="B689" s="13"/>
      <c r="C689" s="13"/>
      <c r="D689" s="13"/>
      <c r="E689" s="13"/>
      <c r="F689" s="13"/>
      <c r="G689" s="36"/>
      <c r="H689" s="36"/>
      <c r="I689" s="36"/>
      <c r="J689" s="36"/>
      <c r="K689" s="36"/>
      <c r="L689" s="36"/>
      <c r="M689" s="36"/>
      <c r="N689" s="13"/>
      <c r="O689" s="202"/>
      <c r="P689" s="36"/>
      <c r="Q689" s="52"/>
      <c r="R689" s="52"/>
      <c r="S689" s="52"/>
      <c r="U689" s="202"/>
      <c r="V689" s="202"/>
      <c r="W689" s="202"/>
      <c r="X689" s="202"/>
      <c r="Y689" s="13"/>
      <c r="Z689" s="36"/>
      <c r="AA689" s="13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289"/>
      <c r="AO689" s="289"/>
      <c r="AP689" s="289"/>
      <c r="AQ689" s="36"/>
      <c r="AR689" s="283"/>
      <c r="AS689" s="13"/>
      <c r="AT689" s="13"/>
      <c r="AU689" s="32"/>
      <c r="AV689" s="277"/>
      <c r="AW689" s="277"/>
      <c r="AX689" s="277"/>
      <c r="AY689" s="280"/>
      <c r="AZ689" s="268"/>
      <c r="BA689" s="268"/>
      <c r="BB689" s="13"/>
      <c r="BC689" s="36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</row>
    <row r="690" spans="1:73">
      <c r="A690" s="13"/>
      <c r="B690" s="13"/>
      <c r="C690" s="13"/>
      <c r="D690" s="13"/>
      <c r="E690" s="13"/>
      <c r="F690" s="13"/>
      <c r="G690" s="36"/>
      <c r="H690" s="36"/>
      <c r="I690" s="36"/>
      <c r="J690" s="36"/>
      <c r="K690" s="36"/>
      <c r="L690" s="36"/>
      <c r="M690" s="36"/>
      <c r="N690" s="13"/>
      <c r="O690" s="202"/>
      <c r="P690" s="36"/>
      <c r="Q690" s="52"/>
      <c r="R690" s="52"/>
      <c r="S690" s="52"/>
      <c r="U690" s="202"/>
      <c r="V690" s="202"/>
      <c r="W690" s="202"/>
      <c r="X690" s="202"/>
      <c r="Y690" s="13"/>
      <c r="Z690" s="36"/>
      <c r="AA690" s="13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289"/>
      <c r="AO690" s="289"/>
      <c r="AP690" s="289"/>
      <c r="AQ690" s="36"/>
      <c r="AR690" s="283"/>
      <c r="AS690" s="13"/>
      <c r="AT690" s="13"/>
      <c r="AU690" s="32"/>
      <c r="AV690" s="277"/>
      <c r="AW690" s="277"/>
      <c r="AX690" s="277"/>
      <c r="AY690" s="280"/>
      <c r="AZ690" s="268"/>
      <c r="BA690" s="268"/>
      <c r="BB690" s="13"/>
      <c r="BC690" s="36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</row>
    <row r="691" spans="1:73">
      <c r="A691" s="13"/>
      <c r="B691" s="13"/>
      <c r="C691" s="13"/>
      <c r="D691" s="13"/>
      <c r="E691" s="13"/>
      <c r="F691" s="13"/>
      <c r="G691" s="36"/>
      <c r="H691" s="36"/>
      <c r="I691" s="36"/>
      <c r="J691" s="36"/>
      <c r="K691" s="36"/>
      <c r="L691" s="36"/>
      <c r="M691" s="36"/>
      <c r="N691" s="13"/>
      <c r="O691" s="202"/>
      <c r="P691" s="36"/>
      <c r="Q691" s="52"/>
      <c r="R691" s="52"/>
      <c r="S691" s="52"/>
      <c r="U691" s="202"/>
      <c r="V691" s="202"/>
      <c r="W691" s="202"/>
      <c r="X691" s="202"/>
      <c r="Y691" s="13"/>
      <c r="Z691" s="36"/>
      <c r="AA691" s="13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289"/>
      <c r="AO691" s="289"/>
      <c r="AP691" s="289"/>
      <c r="AQ691" s="36"/>
      <c r="AR691" s="283"/>
      <c r="AS691" s="13"/>
      <c r="AT691" s="13"/>
      <c r="AU691" s="32"/>
      <c r="AV691" s="277"/>
      <c r="AW691" s="277"/>
      <c r="AX691" s="277"/>
      <c r="AY691" s="280"/>
      <c r="AZ691" s="268"/>
      <c r="BA691" s="268"/>
      <c r="BB691" s="13"/>
      <c r="BC691" s="36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</row>
    <row r="692" spans="1:73">
      <c r="A692" s="13"/>
      <c r="B692" s="13"/>
      <c r="C692" s="13"/>
      <c r="D692" s="13"/>
      <c r="E692" s="13"/>
      <c r="F692" s="13"/>
      <c r="G692" s="36"/>
      <c r="H692" s="36"/>
      <c r="I692" s="36"/>
      <c r="J692" s="36"/>
      <c r="K692" s="36"/>
      <c r="L692" s="36"/>
      <c r="M692" s="36"/>
      <c r="N692" s="13"/>
      <c r="O692" s="202"/>
      <c r="P692" s="36"/>
      <c r="Q692" s="52"/>
      <c r="R692" s="52"/>
      <c r="S692" s="52"/>
      <c r="U692" s="202"/>
      <c r="V692" s="202"/>
      <c r="W692" s="202"/>
      <c r="X692" s="202"/>
      <c r="Y692" s="13"/>
      <c r="Z692" s="36"/>
      <c r="AA692" s="13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289"/>
      <c r="AO692" s="289"/>
      <c r="AP692" s="289"/>
      <c r="AQ692" s="36"/>
      <c r="AR692" s="283"/>
      <c r="AS692" s="13"/>
      <c r="AT692" s="13"/>
      <c r="AU692" s="32"/>
      <c r="AV692" s="277"/>
      <c r="AW692" s="277"/>
      <c r="AX692" s="277"/>
      <c r="AY692" s="280"/>
      <c r="AZ692" s="268"/>
      <c r="BA692" s="268"/>
      <c r="BB692" s="13"/>
      <c r="BC692" s="36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</row>
    <row r="693" spans="1:73">
      <c r="A693" s="13"/>
      <c r="B693" s="13"/>
      <c r="C693" s="13"/>
      <c r="D693" s="13"/>
      <c r="E693" s="13"/>
      <c r="F693" s="13"/>
      <c r="G693" s="36"/>
      <c r="H693" s="36"/>
      <c r="I693" s="36"/>
      <c r="J693" s="36"/>
      <c r="K693" s="36"/>
      <c r="L693" s="36"/>
      <c r="M693" s="36"/>
      <c r="N693" s="13"/>
      <c r="O693" s="202"/>
      <c r="P693" s="36"/>
      <c r="Q693" s="52"/>
      <c r="R693" s="52"/>
      <c r="S693" s="52"/>
      <c r="U693" s="202"/>
      <c r="V693" s="202"/>
      <c r="W693" s="202"/>
      <c r="X693" s="202"/>
      <c r="Y693" s="13"/>
      <c r="Z693" s="36"/>
      <c r="AA693" s="13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289"/>
      <c r="AO693" s="289"/>
      <c r="AP693" s="289"/>
      <c r="AQ693" s="36"/>
      <c r="AR693" s="283"/>
      <c r="AS693" s="13"/>
      <c r="AT693" s="13"/>
      <c r="AU693" s="32"/>
      <c r="AV693" s="277"/>
      <c r="AW693" s="277"/>
      <c r="AX693" s="277"/>
      <c r="AY693" s="280"/>
      <c r="AZ693" s="268"/>
      <c r="BA693" s="268"/>
      <c r="BB693" s="13"/>
      <c r="BC693" s="36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</row>
    <row r="694" spans="1:73">
      <c r="A694" s="13"/>
      <c r="B694" s="13"/>
      <c r="C694" s="13"/>
      <c r="D694" s="13"/>
      <c r="E694" s="13"/>
      <c r="F694" s="13"/>
      <c r="G694" s="36"/>
      <c r="H694" s="36"/>
      <c r="I694" s="36"/>
      <c r="J694" s="36"/>
      <c r="K694" s="36"/>
      <c r="L694" s="36"/>
      <c r="M694" s="36"/>
      <c r="N694" s="13"/>
      <c r="O694" s="202"/>
      <c r="P694" s="36"/>
      <c r="Q694" s="52"/>
      <c r="R694" s="52"/>
      <c r="S694" s="52"/>
      <c r="U694" s="202"/>
      <c r="V694" s="202"/>
      <c r="W694" s="202"/>
      <c r="X694" s="202"/>
      <c r="Y694" s="13"/>
      <c r="Z694" s="36"/>
      <c r="AA694" s="13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289"/>
      <c r="AO694" s="289"/>
      <c r="AP694" s="289"/>
      <c r="AQ694" s="36"/>
      <c r="AR694" s="283"/>
      <c r="AS694" s="13"/>
      <c r="AT694" s="13"/>
      <c r="AU694" s="32"/>
      <c r="AV694" s="277"/>
      <c r="AW694" s="277"/>
      <c r="AX694" s="277"/>
      <c r="AY694" s="280"/>
      <c r="AZ694" s="268"/>
      <c r="BA694" s="268"/>
      <c r="BB694" s="13"/>
      <c r="BC694" s="36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</row>
    <row r="695" spans="1:73">
      <c r="A695" s="13"/>
      <c r="B695" s="13"/>
      <c r="C695" s="13"/>
      <c r="D695" s="13"/>
      <c r="E695" s="13"/>
      <c r="F695" s="13"/>
      <c r="G695" s="36"/>
      <c r="H695" s="36"/>
      <c r="I695" s="36"/>
      <c r="J695" s="36"/>
      <c r="K695" s="36"/>
      <c r="L695" s="36"/>
      <c r="M695" s="36"/>
      <c r="N695" s="13"/>
      <c r="O695" s="202"/>
      <c r="P695" s="36"/>
      <c r="Q695" s="52"/>
      <c r="R695" s="52"/>
      <c r="S695" s="52"/>
      <c r="U695" s="202"/>
      <c r="V695" s="202"/>
      <c r="W695" s="202"/>
      <c r="X695" s="202"/>
      <c r="Y695" s="13"/>
      <c r="Z695" s="36"/>
      <c r="AA695" s="13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289"/>
      <c r="AO695" s="289"/>
      <c r="AP695" s="289"/>
      <c r="AQ695" s="36"/>
      <c r="AR695" s="283"/>
      <c r="AS695" s="13"/>
      <c r="AT695" s="13"/>
      <c r="AU695" s="32"/>
      <c r="AV695" s="277"/>
      <c r="AW695" s="277"/>
      <c r="AX695" s="277"/>
      <c r="AY695" s="280"/>
      <c r="AZ695" s="268"/>
      <c r="BA695" s="268"/>
      <c r="BB695" s="13"/>
      <c r="BC695" s="36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</row>
    <row r="696" spans="1:73">
      <c r="A696" s="13"/>
      <c r="B696" s="13"/>
      <c r="C696" s="13"/>
      <c r="D696" s="13"/>
      <c r="E696" s="13"/>
      <c r="F696" s="13"/>
      <c r="G696" s="36"/>
      <c r="H696" s="36"/>
      <c r="I696" s="36"/>
      <c r="J696" s="36"/>
      <c r="K696" s="36"/>
      <c r="L696" s="36"/>
      <c r="M696" s="36"/>
      <c r="N696" s="13"/>
      <c r="O696" s="202"/>
      <c r="P696" s="36"/>
      <c r="Q696" s="52"/>
      <c r="R696" s="52"/>
      <c r="S696" s="52"/>
      <c r="U696" s="202"/>
      <c r="V696" s="202"/>
      <c r="W696" s="202"/>
      <c r="X696" s="202"/>
      <c r="Y696" s="13"/>
      <c r="Z696" s="36"/>
      <c r="AA696" s="13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289"/>
      <c r="AO696" s="289"/>
      <c r="AP696" s="289"/>
      <c r="AQ696" s="36"/>
      <c r="AR696" s="283"/>
      <c r="AS696" s="13"/>
      <c r="AT696" s="13"/>
      <c r="AU696" s="32"/>
      <c r="AV696" s="277"/>
      <c r="AW696" s="277"/>
      <c r="AX696" s="277"/>
      <c r="AY696" s="280"/>
      <c r="AZ696" s="268"/>
      <c r="BA696" s="268"/>
      <c r="BB696" s="13"/>
      <c r="BC696" s="36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</row>
    <row r="697" spans="1:73">
      <c r="A697" s="13"/>
      <c r="B697" s="13"/>
      <c r="C697" s="13"/>
      <c r="D697" s="13"/>
      <c r="E697" s="13"/>
      <c r="F697" s="13"/>
      <c r="G697" s="36"/>
      <c r="H697" s="36"/>
      <c r="I697" s="36"/>
      <c r="J697" s="36"/>
      <c r="K697" s="36"/>
      <c r="L697" s="36"/>
      <c r="M697" s="36"/>
      <c r="N697" s="13"/>
      <c r="O697" s="202"/>
      <c r="P697" s="36"/>
      <c r="Q697" s="52"/>
      <c r="R697" s="52"/>
      <c r="S697" s="52"/>
      <c r="U697" s="202"/>
      <c r="V697" s="202"/>
      <c r="W697" s="202"/>
      <c r="X697" s="202"/>
      <c r="Y697" s="13"/>
      <c r="Z697" s="36"/>
      <c r="AA697" s="13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289"/>
      <c r="AO697" s="289"/>
      <c r="AP697" s="289"/>
      <c r="AQ697" s="36"/>
      <c r="AR697" s="283"/>
      <c r="AS697" s="13"/>
      <c r="AT697" s="13"/>
      <c r="AU697" s="32"/>
      <c r="AV697" s="277"/>
      <c r="AW697" s="277"/>
      <c r="AX697" s="277"/>
      <c r="AY697" s="280"/>
      <c r="AZ697" s="268"/>
      <c r="BA697" s="268"/>
      <c r="BB697" s="13"/>
      <c r="BC697" s="36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</row>
    <row r="698" spans="1:73">
      <c r="A698" s="13"/>
      <c r="B698" s="13"/>
      <c r="C698" s="13"/>
      <c r="D698" s="13"/>
      <c r="E698" s="13"/>
      <c r="F698" s="13"/>
      <c r="G698" s="36"/>
      <c r="H698" s="36"/>
      <c r="I698" s="36"/>
      <c r="J698" s="36"/>
      <c r="K698" s="36"/>
      <c r="L698" s="36"/>
      <c r="M698" s="36"/>
      <c r="N698" s="13"/>
      <c r="O698" s="202"/>
      <c r="P698" s="36"/>
      <c r="Q698" s="52"/>
      <c r="R698" s="52"/>
      <c r="S698" s="52"/>
      <c r="U698" s="202"/>
      <c r="V698" s="202"/>
      <c r="W698" s="202"/>
      <c r="X698" s="202"/>
      <c r="Y698" s="13"/>
      <c r="Z698" s="36"/>
      <c r="AA698" s="13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289"/>
      <c r="AO698" s="289"/>
      <c r="AP698" s="289"/>
      <c r="AQ698" s="36"/>
      <c r="AR698" s="283"/>
      <c r="AS698" s="13"/>
      <c r="AT698" s="13"/>
      <c r="AU698" s="32"/>
      <c r="AV698" s="277"/>
      <c r="AW698" s="277"/>
      <c r="AX698" s="277"/>
      <c r="AY698" s="280"/>
      <c r="AZ698" s="268"/>
      <c r="BA698" s="268"/>
      <c r="BB698" s="13"/>
      <c r="BC698" s="36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</row>
    <row r="699" spans="1:73">
      <c r="A699" s="13"/>
      <c r="B699" s="13"/>
      <c r="C699" s="13"/>
      <c r="D699" s="13"/>
      <c r="E699" s="13"/>
      <c r="F699" s="13"/>
      <c r="G699" s="36"/>
      <c r="H699" s="36"/>
      <c r="I699" s="36"/>
      <c r="J699" s="36"/>
      <c r="K699" s="36"/>
      <c r="L699" s="36"/>
      <c r="M699" s="36"/>
      <c r="N699" s="13"/>
      <c r="O699" s="202"/>
      <c r="P699" s="36"/>
      <c r="Q699" s="52"/>
      <c r="R699" s="52"/>
      <c r="S699" s="52"/>
      <c r="U699" s="202"/>
      <c r="V699" s="202"/>
      <c r="W699" s="202"/>
      <c r="X699" s="202"/>
      <c r="Y699" s="13"/>
      <c r="Z699" s="36"/>
      <c r="AA699" s="13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289"/>
      <c r="AO699" s="289"/>
      <c r="AP699" s="289"/>
      <c r="AQ699" s="36"/>
      <c r="AR699" s="283"/>
      <c r="AS699" s="13"/>
      <c r="AT699" s="13"/>
      <c r="AU699" s="32"/>
      <c r="AV699" s="277"/>
      <c r="AW699" s="277"/>
      <c r="AX699" s="277"/>
      <c r="AY699" s="280"/>
      <c r="AZ699" s="268"/>
      <c r="BA699" s="268"/>
      <c r="BB699" s="13"/>
      <c r="BC699" s="36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</row>
    <row r="700" spans="1:73">
      <c r="A700" s="13"/>
      <c r="B700" s="13"/>
      <c r="C700" s="13"/>
      <c r="D700" s="13"/>
      <c r="E700" s="13"/>
      <c r="F700" s="13"/>
      <c r="G700" s="36"/>
      <c r="H700" s="36"/>
      <c r="I700" s="36"/>
      <c r="J700" s="36"/>
      <c r="K700" s="36"/>
      <c r="L700" s="36"/>
      <c r="M700" s="36"/>
      <c r="N700" s="13"/>
      <c r="O700" s="202"/>
      <c r="P700" s="36"/>
      <c r="Q700" s="52"/>
      <c r="R700" s="52"/>
      <c r="S700" s="52"/>
      <c r="U700" s="202"/>
      <c r="V700" s="202"/>
      <c r="W700" s="202"/>
      <c r="X700" s="202"/>
      <c r="Y700" s="13"/>
      <c r="Z700" s="36"/>
      <c r="AA700" s="13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289"/>
      <c r="AO700" s="289"/>
      <c r="AP700" s="289"/>
      <c r="AQ700" s="36"/>
      <c r="AR700" s="283"/>
      <c r="AS700" s="13"/>
      <c r="AT700" s="13"/>
      <c r="AU700" s="32"/>
      <c r="AV700" s="277"/>
      <c r="AW700" s="277"/>
      <c r="AX700" s="277"/>
      <c r="AY700" s="280"/>
      <c r="AZ700" s="268"/>
      <c r="BA700" s="268"/>
      <c r="BB700" s="13"/>
      <c r="BC700" s="36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</row>
    <row r="701" spans="1:73">
      <c r="A701" s="13"/>
      <c r="B701" s="13"/>
      <c r="C701" s="13"/>
      <c r="D701" s="13"/>
      <c r="E701" s="13"/>
      <c r="F701" s="13"/>
      <c r="G701" s="36"/>
      <c r="H701" s="36"/>
      <c r="I701" s="36"/>
      <c r="J701" s="36"/>
      <c r="K701" s="36"/>
      <c r="L701" s="36"/>
      <c r="M701" s="36"/>
      <c r="N701" s="13"/>
      <c r="O701" s="202"/>
      <c r="P701" s="36"/>
      <c r="Q701" s="52"/>
      <c r="R701" s="52"/>
      <c r="S701" s="52"/>
      <c r="U701" s="202"/>
      <c r="V701" s="202"/>
      <c r="W701" s="202"/>
      <c r="X701" s="202"/>
      <c r="Y701" s="13"/>
      <c r="Z701" s="36"/>
      <c r="AA701" s="13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289"/>
      <c r="AO701" s="289"/>
      <c r="AP701" s="289"/>
      <c r="AQ701" s="36"/>
      <c r="AR701" s="283"/>
      <c r="AS701" s="13"/>
      <c r="AT701" s="13"/>
      <c r="AU701" s="32"/>
      <c r="AV701" s="277"/>
      <c r="AW701" s="277"/>
      <c r="AX701" s="277"/>
      <c r="AY701" s="280"/>
      <c r="AZ701" s="268"/>
      <c r="BA701" s="268"/>
      <c r="BB701" s="13"/>
      <c r="BC701" s="36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</row>
    <row r="702" spans="1:73">
      <c r="A702" s="13"/>
      <c r="B702" s="13"/>
      <c r="C702" s="13"/>
      <c r="D702" s="13"/>
      <c r="E702" s="13"/>
      <c r="F702" s="13"/>
      <c r="G702" s="36"/>
      <c r="H702" s="36"/>
      <c r="I702" s="36"/>
      <c r="J702" s="36"/>
      <c r="K702" s="36"/>
      <c r="L702" s="36"/>
      <c r="M702" s="36"/>
      <c r="N702" s="13"/>
      <c r="O702" s="202"/>
      <c r="P702" s="36"/>
      <c r="Q702" s="52"/>
      <c r="R702" s="52"/>
      <c r="S702" s="52"/>
      <c r="U702" s="202"/>
      <c r="V702" s="202"/>
      <c r="W702" s="202"/>
      <c r="X702" s="202"/>
      <c r="Y702" s="13"/>
      <c r="Z702" s="36"/>
      <c r="AA702" s="13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289"/>
      <c r="AO702" s="289"/>
      <c r="AP702" s="289"/>
      <c r="AQ702" s="36"/>
      <c r="AR702" s="283"/>
      <c r="AS702" s="13"/>
      <c r="AT702" s="13"/>
      <c r="AU702" s="32"/>
      <c r="AV702" s="277"/>
      <c r="AW702" s="277"/>
      <c r="AX702" s="277"/>
      <c r="AY702" s="280"/>
      <c r="AZ702" s="268"/>
      <c r="BA702" s="268"/>
      <c r="BB702" s="13"/>
      <c r="BC702" s="36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</row>
    <row r="703" spans="1:73">
      <c r="A703" s="13"/>
      <c r="B703" s="13"/>
      <c r="C703" s="13"/>
      <c r="D703" s="13"/>
      <c r="E703" s="13"/>
      <c r="F703" s="13"/>
      <c r="G703" s="36"/>
      <c r="H703" s="36"/>
      <c r="I703" s="36"/>
      <c r="J703" s="36"/>
      <c r="K703" s="36"/>
      <c r="L703" s="36"/>
      <c r="M703" s="36"/>
      <c r="N703" s="13"/>
      <c r="O703" s="202"/>
      <c r="P703" s="36"/>
      <c r="Q703" s="52"/>
      <c r="R703" s="52"/>
      <c r="S703" s="52"/>
      <c r="U703" s="202"/>
      <c r="V703" s="202"/>
      <c r="W703" s="202"/>
      <c r="X703" s="202"/>
      <c r="Y703" s="13"/>
      <c r="Z703" s="36"/>
      <c r="AA703" s="13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289"/>
      <c r="AO703" s="289"/>
      <c r="AP703" s="289"/>
      <c r="AQ703" s="36"/>
      <c r="AR703" s="283"/>
      <c r="AS703" s="13"/>
      <c r="AT703" s="13"/>
      <c r="AU703" s="32"/>
      <c r="AV703" s="277"/>
      <c r="AW703" s="277"/>
      <c r="AX703" s="277"/>
      <c r="AY703" s="280"/>
      <c r="AZ703" s="268"/>
      <c r="BA703" s="268"/>
      <c r="BB703" s="13"/>
      <c r="BC703" s="36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</row>
    <row r="704" spans="1:73">
      <c r="A704" s="13"/>
      <c r="B704" s="13"/>
      <c r="C704" s="13"/>
      <c r="D704" s="13"/>
      <c r="E704" s="13"/>
      <c r="F704" s="13"/>
      <c r="G704" s="36"/>
      <c r="H704" s="36"/>
      <c r="I704" s="36"/>
      <c r="J704" s="36"/>
      <c r="K704" s="36"/>
      <c r="L704" s="36"/>
      <c r="M704" s="36"/>
      <c r="N704" s="13"/>
      <c r="O704" s="202"/>
      <c r="P704" s="36"/>
      <c r="Q704" s="52"/>
      <c r="R704" s="52"/>
      <c r="S704" s="52"/>
      <c r="U704" s="202"/>
      <c r="V704" s="202"/>
      <c r="W704" s="202"/>
      <c r="X704" s="202"/>
      <c r="Y704" s="13"/>
      <c r="Z704" s="36"/>
      <c r="AA704" s="13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289"/>
      <c r="AO704" s="289"/>
      <c r="AP704" s="289"/>
      <c r="AQ704" s="36"/>
      <c r="AR704" s="283"/>
      <c r="AS704" s="13"/>
      <c r="AT704" s="13"/>
      <c r="AU704" s="32"/>
      <c r="AV704" s="277"/>
      <c r="AW704" s="277"/>
      <c r="AX704" s="277"/>
      <c r="AY704" s="280"/>
      <c r="AZ704" s="268"/>
      <c r="BA704" s="268"/>
      <c r="BB704" s="13"/>
      <c r="BC704" s="36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</row>
    <row r="705" spans="1:73">
      <c r="A705" s="13"/>
      <c r="B705" s="13"/>
      <c r="C705" s="13"/>
      <c r="D705" s="13"/>
      <c r="E705" s="13"/>
      <c r="F705" s="13"/>
      <c r="G705" s="36"/>
      <c r="H705" s="36"/>
      <c r="I705" s="36"/>
      <c r="J705" s="36"/>
      <c r="K705" s="36"/>
      <c r="L705" s="36"/>
      <c r="M705" s="36"/>
      <c r="N705" s="13"/>
      <c r="O705" s="202"/>
      <c r="P705" s="36"/>
      <c r="Q705" s="52"/>
      <c r="R705" s="52"/>
      <c r="S705" s="52"/>
      <c r="U705" s="202"/>
      <c r="V705" s="202"/>
      <c r="W705" s="202"/>
      <c r="X705" s="202"/>
      <c r="Y705" s="13"/>
      <c r="Z705" s="36"/>
      <c r="AA705" s="13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289"/>
      <c r="AO705" s="289"/>
      <c r="AP705" s="289"/>
      <c r="AQ705" s="36"/>
      <c r="AR705" s="283"/>
      <c r="AS705" s="13"/>
      <c r="AT705" s="13"/>
      <c r="AU705" s="32"/>
      <c r="AV705" s="277"/>
      <c r="AW705" s="277"/>
      <c r="AX705" s="277"/>
      <c r="AY705" s="280"/>
      <c r="AZ705" s="268"/>
      <c r="BA705" s="268"/>
      <c r="BB705" s="13"/>
      <c r="BC705" s="36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</row>
    <row r="706" spans="1:73">
      <c r="A706" s="13"/>
      <c r="B706" s="13"/>
      <c r="C706" s="13"/>
      <c r="D706" s="13"/>
      <c r="E706" s="13"/>
      <c r="F706" s="13"/>
      <c r="G706" s="36"/>
      <c r="H706" s="36"/>
      <c r="I706" s="36"/>
      <c r="J706" s="36"/>
      <c r="K706" s="36"/>
      <c r="L706" s="36"/>
      <c r="M706" s="36"/>
      <c r="N706" s="13"/>
      <c r="O706" s="202"/>
      <c r="P706" s="36"/>
      <c r="Q706" s="52"/>
      <c r="R706" s="52"/>
      <c r="S706" s="52"/>
      <c r="U706" s="202"/>
      <c r="V706" s="202"/>
      <c r="W706" s="202"/>
      <c r="X706" s="202"/>
      <c r="Y706" s="13"/>
      <c r="Z706" s="36"/>
      <c r="AA706" s="13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289"/>
      <c r="AO706" s="289"/>
      <c r="AP706" s="289"/>
      <c r="AQ706" s="36"/>
      <c r="AR706" s="283"/>
      <c r="AS706" s="13"/>
      <c r="AT706" s="13"/>
      <c r="AU706" s="32"/>
      <c r="AV706" s="277"/>
      <c r="AW706" s="277"/>
      <c r="AX706" s="277"/>
      <c r="AY706" s="280"/>
      <c r="AZ706" s="268"/>
      <c r="BA706" s="268"/>
      <c r="BB706" s="13"/>
      <c r="BC706" s="36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</row>
    <row r="707" spans="1:73">
      <c r="A707" s="13"/>
      <c r="B707" s="13"/>
      <c r="C707" s="13"/>
      <c r="D707" s="13"/>
      <c r="E707" s="13"/>
      <c r="F707" s="13"/>
      <c r="G707" s="36"/>
      <c r="H707" s="36"/>
      <c r="I707" s="36"/>
      <c r="J707" s="36"/>
      <c r="K707" s="36"/>
      <c r="L707" s="36"/>
      <c r="M707" s="36"/>
      <c r="N707" s="13"/>
      <c r="O707" s="202"/>
      <c r="P707" s="36"/>
      <c r="Q707" s="52"/>
      <c r="R707" s="52"/>
      <c r="S707" s="52"/>
      <c r="U707" s="202"/>
      <c r="V707" s="202"/>
      <c r="W707" s="202"/>
      <c r="X707" s="202"/>
      <c r="Y707" s="13"/>
      <c r="Z707" s="36"/>
      <c r="AA707" s="13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289"/>
      <c r="AO707" s="289"/>
      <c r="AP707" s="289"/>
      <c r="AQ707" s="36"/>
      <c r="AR707" s="283"/>
      <c r="AS707" s="13"/>
      <c r="AT707" s="13"/>
      <c r="AU707" s="32"/>
      <c r="AV707" s="277"/>
      <c r="AW707" s="277"/>
      <c r="AX707" s="277"/>
      <c r="AY707" s="280"/>
      <c r="AZ707" s="268"/>
      <c r="BA707" s="268"/>
      <c r="BB707" s="13"/>
      <c r="BC707" s="36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</row>
    <row r="708" spans="1:73">
      <c r="A708" s="13"/>
      <c r="B708" s="13"/>
      <c r="C708" s="13"/>
      <c r="D708" s="13"/>
      <c r="E708" s="13"/>
      <c r="F708" s="13"/>
      <c r="G708" s="36"/>
      <c r="H708" s="36"/>
      <c r="I708" s="36"/>
      <c r="J708" s="36"/>
      <c r="K708" s="36"/>
      <c r="L708" s="36"/>
      <c r="M708" s="36"/>
      <c r="N708" s="13"/>
      <c r="O708" s="202"/>
      <c r="P708" s="36"/>
      <c r="Q708" s="52"/>
      <c r="R708" s="52"/>
      <c r="S708" s="52"/>
      <c r="U708" s="202"/>
      <c r="V708" s="202"/>
      <c r="W708" s="202"/>
      <c r="X708" s="202"/>
      <c r="Y708" s="13"/>
      <c r="Z708" s="36"/>
      <c r="AA708" s="13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289"/>
      <c r="AO708" s="289"/>
      <c r="AP708" s="289"/>
      <c r="AQ708" s="36"/>
      <c r="AR708" s="283"/>
      <c r="AS708" s="13"/>
      <c r="AT708" s="13"/>
      <c r="AU708" s="32"/>
      <c r="AV708" s="277"/>
      <c r="AW708" s="277"/>
      <c r="AX708" s="277"/>
      <c r="AY708" s="280"/>
      <c r="AZ708" s="268"/>
      <c r="BA708" s="268"/>
      <c r="BB708" s="13"/>
      <c r="BC708" s="36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</row>
    <row r="709" spans="1:73">
      <c r="A709" s="13"/>
      <c r="B709" s="13"/>
      <c r="C709" s="13"/>
      <c r="D709" s="13"/>
      <c r="E709" s="13"/>
      <c r="F709" s="13"/>
      <c r="G709" s="36"/>
      <c r="H709" s="36"/>
      <c r="I709" s="36"/>
      <c r="J709" s="36"/>
      <c r="K709" s="36"/>
      <c r="L709" s="36"/>
      <c r="M709" s="36"/>
      <c r="N709" s="13"/>
      <c r="O709" s="202"/>
      <c r="P709" s="36"/>
      <c r="Q709" s="52"/>
      <c r="R709" s="52"/>
      <c r="S709" s="52"/>
      <c r="U709" s="202"/>
      <c r="V709" s="202"/>
      <c r="W709" s="202"/>
      <c r="X709" s="202"/>
      <c r="Y709" s="13"/>
      <c r="Z709" s="36"/>
      <c r="AA709" s="13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289"/>
      <c r="AO709" s="289"/>
      <c r="AP709" s="289"/>
      <c r="AQ709" s="36"/>
      <c r="AR709" s="283"/>
      <c r="AS709" s="13"/>
      <c r="AT709" s="13"/>
      <c r="AU709" s="32"/>
      <c r="AV709" s="277"/>
      <c r="AW709" s="277"/>
      <c r="AX709" s="277"/>
      <c r="AY709" s="280"/>
      <c r="AZ709" s="268"/>
      <c r="BA709" s="268"/>
      <c r="BB709" s="13"/>
      <c r="BC709" s="36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</row>
    <row r="710" spans="1:73">
      <c r="A710" s="13"/>
      <c r="B710" s="13"/>
      <c r="C710" s="13"/>
      <c r="D710" s="13"/>
      <c r="E710" s="13"/>
      <c r="F710" s="13"/>
      <c r="G710" s="36"/>
      <c r="H710" s="36"/>
      <c r="I710" s="36"/>
      <c r="J710" s="36"/>
      <c r="K710" s="36"/>
      <c r="L710" s="36"/>
      <c r="M710" s="36"/>
      <c r="N710" s="13"/>
      <c r="O710" s="202"/>
      <c r="P710" s="36"/>
      <c r="Q710" s="52"/>
      <c r="R710" s="52"/>
      <c r="S710" s="52"/>
      <c r="U710" s="202"/>
      <c r="V710" s="202"/>
      <c r="W710" s="202"/>
      <c r="X710" s="202"/>
      <c r="Y710" s="13"/>
      <c r="Z710" s="36"/>
      <c r="AA710" s="13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289"/>
      <c r="AO710" s="289"/>
      <c r="AP710" s="289"/>
      <c r="AQ710" s="36"/>
      <c r="AR710" s="283"/>
      <c r="AS710" s="13"/>
      <c r="AT710" s="13"/>
      <c r="AU710" s="32"/>
      <c r="AV710" s="277"/>
      <c r="AW710" s="277"/>
      <c r="AX710" s="277"/>
      <c r="AY710" s="280"/>
      <c r="AZ710" s="268"/>
      <c r="BA710" s="268"/>
      <c r="BB710" s="13"/>
      <c r="BC710" s="36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</row>
    <row r="711" spans="1:73">
      <c r="A711" s="13"/>
      <c r="B711" s="13"/>
      <c r="C711" s="13"/>
      <c r="D711" s="13"/>
      <c r="E711" s="13"/>
      <c r="F711" s="13"/>
      <c r="G711" s="36"/>
      <c r="H711" s="36"/>
      <c r="I711" s="36"/>
      <c r="J711" s="36"/>
      <c r="K711" s="36"/>
      <c r="L711" s="36"/>
      <c r="M711" s="36"/>
      <c r="N711" s="13"/>
      <c r="O711" s="202"/>
      <c r="P711" s="36"/>
      <c r="Q711" s="52"/>
      <c r="R711" s="52"/>
      <c r="S711" s="52"/>
      <c r="U711" s="202"/>
      <c r="V711" s="202"/>
      <c r="W711" s="202"/>
      <c r="X711" s="202"/>
      <c r="Y711" s="13"/>
      <c r="Z711" s="36"/>
      <c r="AA711" s="13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289"/>
      <c r="AO711" s="289"/>
      <c r="AP711" s="289"/>
      <c r="AQ711" s="36"/>
      <c r="AR711" s="283"/>
      <c r="AS711" s="13"/>
      <c r="AT711" s="13"/>
      <c r="AU711" s="32"/>
      <c r="AV711" s="277"/>
      <c r="AW711" s="277"/>
      <c r="AX711" s="277"/>
      <c r="AY711" s="280"/>
      <c r="AZ711" s="268"/>
      <c r="BA711" s="268"/>
      <c r="BB711" s="13"/>
      <c r="BC711" s="36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</row>
    <row r="712" spans="1:73">
      <c r="A712" s="13"/>
      <c r="B712" s="13"/>
      <c r="C712" s="13"/>
      <c r="D712" s="13"/>
      <c r="E712" s="13"/>
      <c r="F712" s="13"/>
      <c r="G712" s="36"/>
      <c r="H712" s="36"/>
      <c r="I712" s="36"/>
      <c r="J712" s="36"/>
      <c r="K712" s="36"/>
      <c r="L712" s="36"/>
      <c r="M712" s="36"/>
      <c r="N712" s="13"/>
      <c r="O712" s="202"/>
      <c r="P712" s="36"/>
      <c r="Q712" s="52"/>
      <c r="R712" s="52"/>
      <c r="S712" s="52"/>
      <c r="U712" s="202"/>
      <c r="V712" s="202"/>
      <c r="W712" s="202"/>
      <c r="X712" s="202"/>
      <c r="Y712" s="13"/>
      <c r="Z712" s="36"/>
      <c r="AA712" s="13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289"/>
      <c r="AO712" s="289"/>
      <c r="AP712" s="289"/>
      <c r="AQ712" s="36"/>
      <c r="AR712" s="283"/>
      <c r="AS712" s="13"/>
      <c r="AT712" s="13"/>
      <c r="AU712" s="32"/>
      <c r="AV712" s="277"/>
      <c r="AW712" s="277"/>
      <c r="AX712" s="277"/>
      <c r="AY712" s="280"/>
      <c r="AZ712" s="268"/>
      <c r="BA712" s="268"/>
      <c r="BB712" s="13"/>
      <c r="BC712" s="36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</row>
    <row r="713" spans="1:73">
      <c r="A713" s="13"/>
      <c r="B713" s="13"/>
      <c r="C713" s="13"/>
      <c r="D713" s="13"/>
      <c r="E713" s="13"/>
      <c r="F713" s="13"/>
      <c r="G713" s="36"/>
      <c r="H713" s="36"/>
      <c r="I713" s="36"/>
      <c r="J713" s="36"/>
      <c r="K713" s="36"/>
      <c r="L713" s="36"/>
      <c r="M713" s="36"/>
      <c r="N713" s="13"/>
      <c r="O713" s="202"/>
      <c r="P713" s="36"/>
      <c r="Q713" s="52"/>
      <c r="R713" s="52"/>
      <c r="S713" s="52"/>
      <c r="U713" s="202"/>
      <c r="V713" s="202"/>
      <c r="W713" s="202"/>
      <c r="X713" s="202"/>
      <c r="Y713" s="13"/>
      <c r="Z713" s="36"/>
      <c r="AA713" s="13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289"/>
      <c r="AO713" s="289"/>
      <c r="AP713" s="289"/>
      <c r="AQ713" s="36"/>
      <c r="AR713" s="283"/>
      <c r="AS713" s="13"/>
      <c r="AT713" s="13"/>
      <c r="AU713" s="32"/>
      <c r="AV713" s="277"/>
      <c r="AW713" s="277"/>
      <c r="AX713" s="277"/>
      <c r="AY713" s="280"/>
      <c r="AZ713" s="268"/>
      <c r="BA713" s="268"/>
      <c r="BB713" s="13"/>
      <c r="BC713" s="36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</row>
    <row r="714" spans="1:73">
      <c r="A714" s="13"/>
      <c r="B714" s="13"/>
      <c r="C714" s="13"/>
      <c r="D714" s="13"/>
      <c r="E714" s="13"/>
      <c r="F714" s="13"/>
      <c r="G714" s="36"/>
      <c r="H714" s="36"/>
      <c r="I714" s="36"/>
      <c r="J714" s="36"/>
      <c r="K714" s="36"/>
      <c r="L714" s="36"/>
      <c r="M714" s="36"/>
      <c r="N714" s="13"/>
      <c r="O714" s="202"/>
      <c r="P714" s="36"/>
      <c r="Q714" s="52"/>
      <c r="R714" s="52"/>
      <c r="S714" s="52"/>
      <c r="U714" s="202"/>
      <c r="V714" s="202"/>
      <c r="W714" s="202"/>
      <c r="X714" s="202"/>
      <c r="Y714" s="13"/>
      <c r="Z714" s="36"/>
      <c r="AA714" s="13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289"/>
      <c r="AO714" s="289"/>
      <c r="AP714" s="289"/>
      <c r="AQ714" s="36"/>
      <c r="AR714" s="283"/>
      <c r="AS714" s="13"/>
      <c r="AT714" s="13"/>
      <c r="AU714" s="32"/>
      <c r="AV714" s="277"/>
      <c r="AW714" s="277"/>
      <c r="AX714" s="277"/>
      <c r="AY714" s="280"/>
      <c r="AZ714" s="268"/>
      <c r="BA714" s="268"/>
      <c r="BB714" s="13"/>
      <c r="BC714" s="36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</row>
    <row r="715" spans="1:73">
      <c r="A715" s="13"/>
      <c r="B715" s="13"/>
      <c r="C715" s="13"/>
      <c r="D715" s="13"/>
      <c r="E715" s="13"/>
      <c r="F715" s="13"/>
      <c r="G715" s="36"/>
      <c r="H715" s="36"/>
      <c r="I715" s="36"/>
      <c r="J715" s="36"/>
      <c r="K715" s="36"/>
      <c r="L715" s="36"/>
      <c r="M715" s="36"/>
      <c r="N715" s="13"/>
      <c r="O715" s="202"/>
      <c r="P715" s="36"/>
      <c r="Q715" s="52"/>
      <c r="R715" s="52"/>
      <c r="S715" s="52"/>
      <c r="U715" s="202"/>
      <c r="V715" s="202"/>
      <c r="W715" s="202"/>
      <c r="X715" s="202"/>
      <c r="Y715" s="13"/>
      <c r="Z715" s="36"/>
      <c r="AA715" s="13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289"/>
      <c r="AO715" s="289"/>
      <c r="AP715" s="289"/>
      <c r="AQ715" s="36"/>
      <c r="AR715" s="283"/>
      <c r="AS715" s="13"/>
      <c r="AT715" s="13"/>
      <c r="AU715" s="32"/>
      <c r="AV715" s="277"/>
      <c r="AW715" s="277"/>
      <c r="AX715" s="277"/>
      <c r="AY715" s="280"/>
      <c r="AZ715" s="268"/>
      <c r="BA715" s="268"/>
      <c r="BB715" s="13"/>
      <c r="BC715" s="36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</row>
    <row r="716" spans="1:73">
      <c r="A716" s="13"/>
      <c r="B716" s="13"/>
      <c r="C716" s="13"/>
      <c r="D716" s="13"/>
      <c r="E716" s="13"/>
      <c r="F716" s="13"/>
      <c r="G716" s="36"/>
      <c r="H716" s="36"/>
      <c r="I716" s="36"/>
      <c r="J716" s="36"/>
      <c r="K716" s="36"/>
      <c r="L716" s="36"/>
      <c r="M716" s="36"/>
      <c r="N716" s="13"/>
      <c r="O716" s="202"/>
      <c r="P716" s="36"/>
      <c r="Q716" s="52"/>
      <c r="R716" s="52"/>
      <c r="S716" s="52"/>
      <c r="U716" s="202"/>
      <c r="V716" s="202"/>
      <c r="W716" s="202"/>
      <c r="X716" s="202"/>
      <c r="Y716" s="13"/>
      <c r="Z716" s="36"/>
      <c r="AA716" s="13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289"/>
      <c r="AO716" s="289"/>
      <c r="AP716" s="289"/>
      <c r="AQ716" s="36"/>
      <c r="AR716" s="283"/>
      <c r="AS716" s="13"/>
      <c r="AT716" s="13"/>
      <c r="AU716" s="32"/>
      <c r="AV716" s="277"/>
      <c r="AW716" s="277"/>
      <c r="AX716" s="277"/>
      <c r="AY716" s="280"/>
      <c r="AZ716" s="268"/>
      <c r="BA716" s="268"/>
      <c r="BB716" s="13"/>
      <c r="BC716" s="36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</row>
    <row r="717" spans="1:73">
      <c r="A717" s="13"/>
      <c r="B717" s="13"/>
      <c r="C717" s="13"/>
      <c r="D717" s="13"/>
      <c r="E717" s="13"/>
      <c r="F717" s="13"/>
      <c r="G717" s="36"/>
      <c r="H717" s="36"/>
      <c r="I717" s="36"/>
      <c r="J717" s="36"/>
      <c r="K717" s="36"/>
      <c r="L717" s="36"/>
      <c r="M717" s="36"/>
      <c r="N717" s="13"/>
      <c r="O717" s="202"/>
      <c r="P717" s="36"/>
      <c r="Q717" s="52"/>
      <c r="R717" s="52"/>
      <c r="S717" s="52"/>
      <c r="U717" s="202"/>
      <c r="V717" s="202"/>
      <c r="W717" s="202"/>
      <c r="X717" s="202"/>
      <c r="Y717" s="13"/>
      <c r="Z717" s="36"/>
      <c r="AA717" s="13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289"/>
      <c r="AO717" s="289"/>
      <c r="AP717" s="289"/>
      <c r="AQ717" s="36"/>
      <c r="AR717" s="283"/>
      <c r="AS717" s="13"/>
      <c r="AT717" s="13"/>
      <c r="AU717" s="32"/>
      <c r="AV717" s="277"/>
      <c r="AW717" s="277"/>
      <c r="AX717" s="277"/>
      <c r="AY717" s="280"/>
      <c r="AZ717" s="268"/>
      <c r="BA717" s="268"/>
      <c r="BB717" s="13"/>
      <c r="BC717" s="36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</row>
    <row r="718" spans="1:73">
      <c r="A718" s="13"/>
      <c r="B718" s="13"/>
      <c r="C718" s="13"/>
      <c r="D718" s="13"/>
      <c r="E718" s="13"/>
      <c r="F718" s="13"/>
      <c r="G718" s="36"/>
      <c r="H718" s="36"/>
      <c r="I718" s="36"/>
      <c r="J718" s="36"/>
      <c r="K718" s="36"/>
      <c r="L718" s="36"/>
      <c r="M718" s="36"/>
      <c r="N718" s="13"/>
      <c r="O718" s="202"/>
      <c r="P718" s="36"/>
      <c r="Q718" s="52"/>
      <c r="R718" s="52"/>
      <c r="S718" s="52"/>
      <c r="U718" s="202"/>
      <c r="V718" s="202"/>
      <c r="W718" s="202"/>
      <c r="X718" s="202"/>
      <c r="Y718" s="13"/>
      <c r="Z718" s="36"/>
      <c r="AA718" s="13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289"/>
      <c r="AO718" s="289"/>
      <c r="AP718" s="289"/>
      <c r="AQ718" s="36"/>
      <c r="AR718" s="283"/>
      <c r="AS718" s="13"/>
      <c r="AT718" s="13"/>
      <c r="AU718" s="32"/>
      <c r="AV718" s="277"/>
      <c r="AW718" s="277"/>
      <c r="AX718" s="277"/>
      <c r="AY718" s="280"/>
      <c r="AZ718" s="268"/>
      <c r="BA718" s="268"/>
      <c r="BB718" s="13"/>
      <c r="BC718" s="36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</row>
    <row r="719" spans="1:73">
      <c r="A719" s="13"/>
      <c r="B719" s="13"/>
      <c r="C719" s="13"/>
      <c r="D719" s="13"/>
      <c r="E719" s="13"/>
      <c r="F719" s="13"/>
      <c r="G719" s="36"/>
      <c r="H719" s="36"/>
      <c r="I719" s="36"/>
      <c r="J719" s="36"/>
      <c r="K719" s="36"/>
      <c r="L719" s="36"/>
      <c r="M719" s="36"/>
      <c r="N719" s="13"/>
      <c r="O719" s="202"/>
      <c r="P719" s="36"/>
      <c r="Q719" s="52"/>
      <c r="R719" s="52"/>
      <c r="S719" s="52"/>
      <c r="U719" s="202"/>
      <c r="V719" s="202"/>
      <c r="W719" s="202"/>
      <c r="X719" s="202"/>
      <c r="Y719" s="13"/>
      <c r="Z719" s="36"/>
      <c r="AA719" s="13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289"/>
      <c r="AO719" s="289"/>
      <c r="AP719" s="289"/>
      <c r="AQ719" s="36"/>
      <c r="AR719" s="283"/>
      <c r="AS719" s="13"/>
      <c r="AT719" s="13"/>
      <c r="AU719" s="32"/>
      <c r="AV719" s="277"/>
      <c r="AW719" s="277"/>
      <c r="AX719" s="277"/>
      <c r="AY719" s="280"/>
      <c r="AZ719" s="268"/>
      <c r="BA719" s="268"/>
      <c r="BB719" s="13"/>
      <c r="BC719" s="36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</row>
    <row r="720" spans="1:73">
      <c r="A720" s="13"/>
      <c r="B720" s="13"/>
      <c r="C720" s="13"/>
      <c r="D720" s="13"/>
      <c r="E720" s="13"/>
      <c r="F720" s="13"/>
      <c r="G720" s="36"/>
      <c r="H720" s="36"/>
      <c r="I720" s="36"/>
      <c r="J720" s="36"/>
      <c r="K720" s="36"/>
      <c r="L720" s="36"/>
      <c r="M720" s="36"/>
      <c r="N720" s="13"/>
      <c r="O720" s="202"/>
      <c r="P720" s="36"/>
      <c r="Q720" s="52"/>
      <c r="R720" s="52"/>
      <c r="S720" s="52"/>
      <c r="U720" s="202"/>
      <c r="V720" s="202"/>
      <c r="W720" s="202"/>
      <c r="X720" s="202"/>
      <c r="Y720" s="13"/>
      <c r="Z720" s="36"/>
      <c r="AA720" s="13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289"/>
      <c r="AO720" s="289"/>
      <c r="AP720" s="289"/>
      <c r="AQ720" s="36"/>
      <c r="AR720" s="283"/>
      <c r="AS720" s="13"/>
      <c r="AT720" s="13"/>
      <c r="AU720" s="32"/>
      <c r="AV720" s="277"/>
      <c r="AW720" s="277"/>
      <c r="AX720" s="277"/>
      <c r="AY720" s="280"/>
      <c r="AZ720" s="268"/>
      <c r="BA720" s="268"/>
      <c r="BB720" s="13"/>
      <c r="BC720" s="36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</row>
    <row r="721" spans="1:73">
      <c r="A721" s="13"/>
      <c r="B721" s="13"/>
      <c r="C721" s="13"/>
      <c r="D721" s="13"/>
      <c r="E721" s="13"/>
      <c r="F721" s="13"/>
      <c r="G721" s="36"/>
      <c r="H721" s="36"/>
      <c r="I721" s="36"/>
      <c r="J721" s="36"/>
      <c r="K721" s="36"/>
      <c r="L721" s="36"/>
      <c r="M721" s="36"/>
      <c r="N721" s="13"/>
      <c r="O721" s="202"/>
      <c r="P721" s="36"/>
      <c r="Q721" s="52"/>
      <c r="R721" s="52"/>
      <c r="S721" s="52"/>
      <c r="U721" s="202"/>
      <c r="V721" s="202"/>
      <c r="W721" s="202"/>
      <c r="X721" s="202"/>
      <c r="Y721" s="13"/>
      <c r="Z721" s="36"/>
      <c r="AA721" s="13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289"/>
      <c r="AO721" s="289"/>
      <c r="AP721" s="289"/>
      <c r="AQ721" s="36"/>
      <c r="AR721" s="283"/>
      <c r="AS721" s="13"/>
      <c r="AT721" s="13"/>
      <c r="AU721" s="32"/>
      <c r="AV721" s="277"/>
      <c r="AW721" s="277"/>
      <c r="AX721" s="277"/>
      <c r="AY721" s="280"/>
      <c r="AZ721" s="268"/>
      <c r="BA721" s="268"/>
      <c r="BB721" s="13"/>
      <c r="BC721" s="36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</row>
    <row r="722" spans="1:73">
      <c r="A722" s="13"/>
      <c r="B722" s="13"/>
      <c r="C722" s="13"/>
      <c r="D722" s="13"/>
      <c r="E722" s="13"/>
      <c r="F722" s="13"/>
      <c r="G722" s="36"/>
      <c r="H722" s="36"/>
      <c r="I722" s="36"/>
      <c r="J722" s="36"/>
      <c r="K722" s="36"/>
      <c r="L722" s="36"/>
      <c r="M722" s="36"/>
      <c r="N722" s="13"/>
      <c r="O722" s="202"/>
      <c r="P722" s="36"/>
      <c r="Q722" s="52"/>
      <c r="R722" s="52"/>
      <c r="S722" s="52"/>
      <c r="U722" s="202"/>
      <c r="V722" s="202"/>
      <c r="W722" s="202"/>
      <c r="X722" s="202"/>
      <c r="Y722" s="13"/>
      <c r="Z722" s="36"/>
      <c r="AA722" s="13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289"/>
      <c r="AO722" s="289"/>
      <c r="AP722" s="289"/>
      <c r="AQ722" s="36"/>
      <c r="AR722" s="283"/>
      <c r="AS722" s="13"/>
      <c r="AT722" s="13"/>
      <c r="AU722" s="32"/>
      <c r="AV722" s="277"/>
      <c r="AW722" s="277"/>
      <c r="AX722" s="277"/>
      <c r="AY722" s="280"/>
      <c r="AZ722" s="268"/>
      <c r="BA722" s="268"/>
      <c r="BB722" s="13"/>
      <c r="BC722" s="36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</row>
    <row r="723" spans="1:73">
      <c r="A723" s="13"/>
      <c r="B723" s="13"/>
      <c r="C723" s="13"/>
      <c r="D723" s="13"/>
      <c r="E723" s="13"/>
      <c r="F723" s="13"/>
      <c r="G723" s="36"/>
      <c r="H723" s="36"/>
      <c r="I723" s="36"/>
      <c r="J723" s="36"/>
      <c r="K723" s="36"/>
      <c r="L723" s="36"/>
      <c r="M723" s="36"/>
      <c r="N723" s="13"/>
      <c r="O723" s="202"/>
      <c r="P723" s="36"/>
      <c r="Q723" s="52"/>
      <c r="R723" s="52"/>
      <c r="S723" s="52"/>
      <c r="U723" s="202"/>
      <c r="V723" s="202"/>
      <c r="W723" s="202"/>
      <c r="X723" s="202"/>
      <c r="Y723" s="13"/>
      <c r="Z723" s="36"/>
      <c r="AA723" s="13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289"/>
      <c r="AO723" s="289"/>
      <c r="AP723" s="289"/>
      <c r="AQ723" s="36"/>
      <c r="AR723" s="283"/>
      <c r="AS723" s="13"/>
      <c r="AT723" s="13"/>
      <c r="AU723" s="32"/>
      <c r="AV723" s="277"/>
      <c r="AW723" s="277"/>
      <c r="AX723" s="277"/>
      <c r="AY723" s="280"/>
      <c r="AZ723" s="268"/>
      <c r="BA723" s="268"/>
      <c r="BB723" s="13"/>
      <c r="BC723" s="36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</row>
    <row r="724" spans="1:73">
      <c r="A724" s="13"/>
      <c r="B724" s="13"/>
      <c r="C724" s="13"/>
      <c r="D724" s="13"/>
      <c r="E724" s="13"/>
      <c r="F724" s="13"/>
      <c r="G724" s="36"/>
      <c r="H724" s="36"/>
      <c r="I724" s="36"/>
      <c r="J724" s="36"/>
      <c r="K724" s="36"/>
      <c r="L724" s="36"/>
      <c r="M724" s="36"/>
      <c r="N724" s="13"/>
      <c r="O724" s="202"/>
      <c r="P724" s="36"/>
      <c r="Q724" s="52"/>
      <c r="R724" s="52"/>
      <c r="S724" s="52"/>
      <c r="U724" s="202"/>
      <c r="V724" s="202"/>
      <c r="W724" s="202"/>
      <c r="X724" s="202"/>
      <c r="Y724" s="13"/>
      <c r="Z724" s="36"/>
      <c r="AA724" s="13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289"/>
      <c r="AO724" s="289"/>
      <c r="AP724" s="289"/>
      <c r="AQ724" s="36"/>
      <c r="AR724" s="283"/>
      <c r="AS724" s="13"/>
      <c r="AT724" s="13"/>
      <c r="AU724" s="32"/>
      <c r="AV724" s="277"/>
      <c r="AW724" s="277"/>
      <c r="AX724" s="277"/>
      <c r="AY724" s="280"/>
      <c r="AZ724" s="268"/>
      <c r="BA724" s="268"/>
      <c r="BB724" s="13"/>
      <c r="BC724" s="36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</row>
    <row r="725" spans="1:73">
      <c r="A725" s="13"/>
      <c r="B725" s="13"/>
      <c r="C725" s="13"/>
      <c r="D725" s="13"/>
      <c r="E725" s="13"/>
      <c r="F725" s="13"/>
      <c r="G725" s="36"/>
      <c r="H725" s="36"/>
      <c r="I725" s="36"/>
      <c r="J725" s="36"/>
      <c r="K725" s="36"/>
      <c r="L725" s="36"/>
      <c r="M725" s="36"/>
      <c r="N725" s="13"/>
      <c r="O725" s="202"/>
      <c r="P725" s="36"/>
      <c r="Q725" s="52"/>
      <c r="R725" s="52"/>
      <c r="S725" s="52"/>
      <c r="U725" s="202"/>
      <c r="V725" s="202"/>
      <c r="W725" s="202"/>
      <c r="X725" s="202"/>
      <c r="Y725" s="13"/>
      <c r="Z725" s="36"/>
      <c r="AA725" s="13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289"/>
      <c r="AO725" s="289"/>
      <c r="AP725" s="289"/>
      <c r="AQ725" s="36"/>
      <c r="AR725" s="283"/>
      <c r="AS725" s="13"/>
      <c r="AT725" s="13"/>
      <c r="AU725" s="32"/>
      <c r="AV725" s="277"/>
      <c r="AW725" s="277"/>
      <c r="AX725" s="277"/>
      <c r="AY725" s="280"/>
      <c r="AZ725" s="268"/>
      <c r="BA725" s="268"/>
      <c r="BB725" s="13"/>
      <c r="BC725" s="36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</row>
    <row r="726" spans="1:73">
      <c r="A726" s="13"/>
      <c r="B726" s="13"/>
      <c r="C726" s="13"/>
      <c r="D726" s="13"/>
      <c r="E726" s="13"/>
      <c r="F726" s="13"/>
      <c r="G726" s="36"/>
      <c r="H726" s="36"/>
      <c r="I726" s="36"/>
      <c r="J726" s="36"/>
      <c r="K726" s="36"/>
      <c r="L726" s="36"/>
      <c r="M726" s="36"/>
      <c r="N726" s="13"/>
      <c r="O726" s="202"/>
      <c r="P726" s="36"/>
      <c r="Q726" s="52"/>
      <c r="R726" s="52"/>
      <c r="S726" s="52"/>
      <c r="U726" s="202"/>
      <c r="V726" s="202"/>
      <c r="W726" s="202"/>
      <c r="X726" s="202"/>
      <c r="Y726" s="13"/>
      <c r="Z726" s="36"/>
      <c r="AA726" s="13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289"/>
      <c r="AO726" s="289"/>
      <c r="AP726" s="289"/>
      <c r="AQ726" s="36"/>
      <c r="AR726" s="283"/>
      <c r="AS726" s="13"/>
      <c r="AT726" s="13"/>
      <c r="AU726" s="32"/>
      <c r="AV726" s="277"/>
      <c r="AW726" s="277"/>
      <c r="AX726" s="277"/>
      <c r="AY726" s="280"/>
      <c r="AZ726" s="268"/>
      <c r="BA726" s="268"/>
      <c r="BB726" s="13"/>
      <c r="BC726" s="36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</row>
    <row r="727" spans="1:73">
      <c r="A727" s="13"/>
      <c r="B727" s="13"/>
      <c r="C727" s="13"/>
      <c r="D727" s="13"/>
      <c r="E727" s="13"/>
      <c r="F727" s="13"/>
      <c r="G727" s="36"/>
      <c r="H727" s="36"/>
      <c r="I727" s="36"/>
      <c r="J727" s="36"/>
      <c r="K727" s="36"/>
      <c r="L727" s="36"/>
      <c r="M727" s="36"/>
      <c r="N727" s="13"/>
      <c r="O727" s="202"/>
      <c r="P727" s="36"/>
      <c r="Q727" s="52"/>
      <c r="R727" s="52"/>
      <c r="S727" s="52"/>
      <c r="U727" s="202"/>
      <c r="V727" s="202"/>
      <c r="W727" s="202"/>
      <c r="X727" s="202"/>
      <c r="Y727" s="13"/>
      <c r="Z727" s="36"/>
      <c r="AA727" s="13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289"/>
      <c r="AO727" s="289"/>
      <c r="AP727" s="289"/>
      <c r="AQ727" s="36"/>
      <c r="AR727" s="283"/>
      <c r="AS727" s="13"/>
      <c r="AT727" s="13"/>
      <c r="AU727" s="32"/>
      <c r="AV727" s="277"/>
      <c r="AW727" s="277"/>
      <c r="AX727" s="277"/>
      <c r="AY727" s="280"/>
      <c r="AZ727" s="268"/>
      <c r="BA727" s="268"/>
      <c r="BB727" s="13"/>
      <c r="BC727" s="36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</row>
    <row r="728" spans="1:73">
      <c r="A728" s="13"/>
      <c r="B728" s="13"/>
      <c r="C728" s="13"/>
      <c r="D728" s="13"/>
      <c r="E728" s="13"/>
      <c r="F728" s="13"/>
      <c r="G728" s="36"/>
      <c r="H728" s="36"/>
      <c r="I728" s="36"/>
      <c r="J728" s="36"/>
      <c r="K728" s="36"/>
      <c r="L728" s="36"/>
      <c r="M728" s="36"/>
      <c r="N728" s="13"/>
      <c r="O728" s="202"/>
      <c r="P728" s="36"/>
      <c r="Q728" s="52"/>
      <c r="R728" s="52"/>
      <c r="S728" s="52"/>
      <c r="U728" s="202"/>
      <c r="V728" s="202"/>
      <c r="W728" s="202"/>
      <c r="X728" s="202"/>
      <c r="Y728" s="13"/>
      <c r="Z728" s="36"/>
      <c r="AA728" s="13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289"/>
      <c r="AO728" s="289"/>
      <c r="AP728" s="289"/>
      <c r="AQ728" s="36"/>
      <c r="AR728" s="283"/>
      <c r="AS728" s="13"/>
      <c r="AT728" s="13"/>
      <c r="AU728" s="32"/>
      <c r="AV728" s="277"/>
      <c r="AW728" s="277"/>
      <c r="AX728" s="277"/>
      <c r="AY728" s="280"/>
      <c r="AZ728" s="268"/>
      <c r="BA728" s="268"/>
      <c r="BB728" s="13"/>
      <c r="BC728" s="36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</row>
    <row r="729" spans="1:73">
      <c r="A729" s="13"/>
      <c r="B729" s="13"/>
      <c r="C729" s="13"/>
      <c r="D729" s="13"/>
      <c r="E729" s="13"/>
      <c r="F729" s="13"/>
      <c r="G729" s="36"/>
      <c r="H729" s="36"/>
      <c r="I729" s="36"/>
      <c r="J729" s="36"/>
      <c r="K729" s="36"/>
      <c r="L729" s="36"/>
      <c r="M729" s="36"/>
      <c r="N729" s="13"/>
      <c r="O729" s="202"/>
      <c r="P729" s="36"/>
      <c r="Q729" s="52"/>
      <c r="R729" s="52"/>
      <c r="S729" s="52"/>
      <c r="U729" s="202"/>
      <c r="V729" s="202"/>
      <c r="W729" s="202"/>
      <c r="X729" s="202"/>
      <c r="Y729" s="13"/>
      <c r="Z729" s="36"/>
      <c r="AA729" s="13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289"/>
      <c r="AO729" s="289"/>
      <c r="AP729" s="289"/>
      <c r="AQ729" s="36"/>
      <c r="AR729" s="283"/>
      <c r="AS729" s="13"/>
      <c r="AT729" s="13"/>
      <c r="AU729" s="32"/>
      <c r="AV729" s="277"/>
      <c r="AW729" s="277"/>
      <c r="AX729" s="277"/>
      <c r="AY729" s="280"/>
      <c r="AZ729" s="268"/>
      <c r="BA729" s="268"/>
      <c r="BB729" s="13"/>
      <c r="BC729" s="36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</row>
    <row r="730" spans="1:73">
      <c r="A730" s="13"/>
      <c r="B730" s="13"/>
      <c r="C730" s="13"/>
      <c r="D730" s="13"/>
      <c r="E730" s="13"/>
      <c r="F730" s="13"/>
      <c r="G730" s="36"/>
      <c r="H730" s="36"/>
      <c r="I730" s="36"/>
      <c r="J730" s="36"/>
      <c r="K730" s="36"/>
      <c r="L730" s="36"/>
      <c r="M730" s="36"/>
      <c r="N730" s="13"/>
      <c r="O730" s="202"/>
      <c r="P730" s="36"/>
      <c r="Q730" s="52"/>
      <c r="R730" s="52"/>
      <c r="S730" s="52"/>
      <c r="U730" s="202"/>
      <c r="V730" s="202"/>
      <c r="W730" s="202"/>
      <c r="X730" s="202"/>
      <c r="Y730" s="13"/>
      <c r="Z730" s="36"/>
      <c r="AA730" s="13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289"/>
      <c r="AO730" s="289"/>
      <c r="AP730" s="289"/>
      <c r="AQ730" s="36"/>
      <c r="AR730" s="283"/>
      <c r="AS730" s="13"/>
      <c r="AT730" s="13"/>
      <c r="AU730" s="32"/>
      <c r="AV730" s="277"/>
      <c r="AW730" s="277"/>
      <c r="AX730" s="277"/>
      <c r="AY730" s="280"/>
      <c r="AZ730" s="268"/>
      <c r="BA730" s="268"/>
      <c r="BB730" s="13"/>
      <c r="BC730" s="36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</row>
    <row r="731" spans="1:73">
      <c r="A731" s="13"/>
      <c r="B731" s="13"/>
      <c r="C731" s="13"/>
      <c r="D731" s="13"/>
      <c r="E731" s="13"/>
      <c r="F731" s="13"/>
      <c r="G731" s="36"/>
      <c r="H731" s="36"/>
      <c r="I731" s="36"/>
      <c r="J731" s="36"/>
      <c r="K731" s="36"/>
      <c r="L731" s="36"/>
      <c r="M731" s="36"/>
      <c r="N731" s="13"/>
      <c r="O731" s="202"/>
      <c r="P731" s="36"/>
      <c r="Q731" s="52"/>
      <c r="R731" s="52"/>
      <c r="S731" s="52"/>
      <c r="U731" s="202"/>
      <c r="V731" s="202"/>
      <c r="W731" s="202"/>
      <c r="X731" s="202"/>
      <c r="Y731" s="13"/>
      <c r="Z731" s="36"/>
      <c r="AA731" s="13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289"/>
      <c r="AO731" s="289"/>
      <c r="AP731" s="289"/>
      <c r="AQ731" s="36"/>
      <c r="AR731" s="283"/>
      <c r="AS731" s="13"/>
      <c r="AT731" s="13"/>
      <c r="AU731" s="32"/>
      <c r="AV731" s="277"/>
      <c r="AW731" s="277"/>
      <c r="AX731" s="277"/>
      <c r="AY731" s="280"/>
      <c r="AZ731" s="268"/>
      <c r="BA731" s="268"/>
      <c r="BB731" s="13"/>
      <c r="BC731" s="36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</row>
    <row r="732" spans="1:73">
      <c r="A732" s="13"/>
      <c r="B732" s="13"/>
      <c r="C732" s="13"/>
      <c r="D732" s="13"/>
      <c r="E732" s="13"/>
      <c r="F732" s="13"/>
      <c r="G732" s="36"/>
      <c r="H732" s="36"/>
      <c r="I732" s="36"/>
      <c r="J732" s="36"/>
      <c r="K732" s="36"/>
      <c r="L732" s="36"/>
      <c r="M732" s="36"/>
      <c r="N732" s="13"/>
      <c r="O732" s="202"/>
      <c r="P732" s="36"/>
      <c r="Q732" s="52"/>
      <c r="R732" s="52"/>
      <c r="S732" s="52"/>
      <c r="U732" s="202"/>
      <c r="V732" s="202"/>
      <c r="W732" s="202"/>
      <c r="X732" s="202"/>
      <c r="Y732" s="13"/>
      <c r="Z732" s="36"/>
      <c r="AA732" s="13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289"/>
      <c r="AO732" s="289"/>
      <c r="AP732" s="289"/>
      <c r="AQ732" s="36"/>
      <c r="AR732" s="283"/>
      <c r="AS732" s="13"/>
      <c r="AT732" s="13"/>
      <c r="AU732" s="32"/>
      <c r="AV732" s="277"/>
      <c r="AW732" s="277"/>
      <c r="AX732" s="277"/>
      <c r="AY732" s="280"/>
      <c r="AZ732" s="268"/>
      <c r="BA732" s="268"/>
      <c r="BB732" s="13"/>
      <c r="BC732" s="36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</row>
    <row r="733" spans="1:73">
      <c r="A733" s="13"/>
      <c r="B733" s="13"/>
      <c r="C733" s="13"/>
      <c r="D733" s="13"/>
      <c r="E733" s="13"/>
      <c r="F733" s="13"/>
      <c r="G733" s="36"/>
      <c r="H733" s="36"/>
      <c r="I733" s="36"/>
      <c r="J733" s="36"/>
      <c r="K733" s="36"/>
      <c r="L733" s="36"/>
      <c r="M733" s="36"/>
      <c r="N733" s="13"/>
      <c r="O733" s="202"/>
      <c r="P733" s="36"/>
      <c r="Q733" s="52"/>
      <c r="R733" s="52"/>
      <c r="S733" s="52"/>
      <c r="U733" s="202"/>
      <c r="V733" s="202"/>
      <c r="W733" s="202"/>
      <c r="X733" s="202"/>
      <c r="Y733" s="13"/>
      <c r="Z733" s="36"/>
      <c r="AA733" s="13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289"/>
      <c r="AO733" s="289"/>
      <c r="AP733" s="289"/>
      <c r="AQ733" s="36"/>
      <c r="AR733" s="283"/>
      <c r="AS733" s="13"/>
      <c r="AT733" s="13"/>
      <c r="AU733" s="32"/>
      <c r="AV733" s="277"/>
      <c r="AW733" s="277"/>
      <c r="AX733" s="277"/>
      <c r="AY733" s="280"/>
      <c r="AZ733" s="268"/>
      <c r="BA733" s="268"/>
      <c r="BB733" s="13"/>
      <c r="BC733" s="36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</row>
    <row r="734" spans="1:73">
      <c r="A734" s="13"/>
      <c r="B734" s="13"/>
      <c r="C734" s="13"/>
      <c r="D734" s="13"/>
      <c r="E734" s="13"/>
      <c r="F734" s="13"/>
      <c r="G734" s="36"/>
      <c r="H734" s="36"/>
      <c r="I734" s="36"/>
      <c r="J734" s="36"/>
      <c r="K734" s="36"/>
      <c r="L734" s="36"/>
      <c r="M734" s="36"/>
      <c r="N734" s="13"/>
      <c r="O734" s="202"/>
      <c r="P734" s="36"/>
      <c r="Q734" s="52"/>
      <c r="R734" s="52"/>
      <c r="S734" s="52"/>
      <c r="U734" s="202"/>
      <c r="V734" s="202"/>
      <c r="W734" s="202"/>
      <c r="X734" s="202"/>
      <c r="Y734" s="13"/>
      <c r="Z734" s="36"/>
      <c r="AA734" s="13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289"/>
      <c r="AO734" s="289"/>
      <c r="AP734" s="289"/>
      <c r="AQ734" s="36"/>
      <c r="AR734" s="283"/>
      <c r="AS734" s="13"/>
      <c r="AT734" s="13"/>
      <c r="AU734" s="32"/>
      <c r="AV734" s="277"/>
      <c r="AW734" s="277"/>
      <c r="AX734" s="277"/>
      <c r="AY734" s="280"/>
      <c r="AZ734" s="268"/>
      <c r="BA734" s="268"/>
      <c r="BB734" s="13"/>
      <c r="BC734" s="36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</row>
    <row r="735" spans="1:73">
      <c r="A735" s="13"/>
      <c r="B735" s="13"/>
      <c r="C735" s="13"/>
      <c r="D735" s="13"/>
      <c r="E735" s="13"/>
      <c r="F735" s="13"/>
      <c r="G735" s="36"/>
      <c r="H735" s="36"/>
      <c r="I735" s="36"/>
      <c r="J735" s="36"/>
      <c r="K735" s="36"/>
      <c r="L735" s="36"/>
      <c r="M735" s="36"/>
      <c r="N735" s="13"/>
      <c r="O735" s="202"/>
      <c r="P735" s="36"/>
      <c r="Q735" s="52"/>
      <c r="R735" s="52"/>
      <c r="S735" s="52"/>
      <c r="U735" s="202"/>
      <c r="V735" s="202"/>
      <c r="W735" s="202"/>
      <c r="X735" s="202"/>
      <c r="Y735" s="13"/>
      <c r="Z735" s="36"/>
      <c r="AA735" s="13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289"/>
      <c r="AO735" s="289"/>
      <c r="AP735" s="289"/>
      <c r="AQ735" s="36"/>
      <c r="AR735" s="283"/>
      <c r="AS735" s="13"/>
      <c r="AT735" s="13"/>
      <c r="AU735" s="32"/>
      <c r="AV735" s="277"/>
      <c r="AW735" s="277"/>
      <c r="AX735" s="277"/>
      <c r="AY735" s="280"/>
      <c r="AZ735" s="268"/>
      <c r="BA735" s="268"/>
      <c r="BB735" s="13"/>
      <c r="BC735" s="36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</row>
    <row r="736" spans="1:73">
      <c r="A736" s="13"/>
      <c r="B736" s="13"/>
      <c r="C736" s="13"/>
      <c r="D736" s="13"/>
      <c r="E736" s="13"/>
      <c r="F736" s="13"/>
      <c r="G736" s="36"/>
      <c r="H736" s="36"/>
      <c r="I736" s="36"/>
      <c r="J736" s="36"/>
      <c r="K736" s="36"/>
      <c r="L736" s="36"/>
      <c r="M736" s="36"/>
      <c r="N736" s="13"/>
      <c r="O736" s="202"/>
      <c r="P736" s="36"/>
      <c r="Q736" s="52"/>
      <c r="R736" s="52"/>
      <c r="S736" s="52"/>
      <c r="U736" s="202"/>
      <c r="V736" s="202"/>
      <c r="W736" s="202"/>
      <c r="X736" s="202"/>
      <c r="Y736" s="13"/>
      <c r="Z736" s="36"/>
      <c r="AA736" s="13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289"/>
      <c r="AO736" s="289"/>
      <c r="AP736" s="289"/>
      <c r="AQ736" s="36"/>
      <c r="AR736" s="283"/>
      <c r="AS736" s="13"/>
      <c r="AT736" s="13"/>
      <c r="AU736" s="32"/>
      <c r="AV736" s="277"/>
      <c r="AW736" s="277"/>
      <c r="AX736" s="277"/>
      <c r="AY736" s="280"/>
      <c r="AZ736" s="268"/>
      <c r="BA736" s="268"/>
      <c r="BB736" s="13"/>
      <c r="BC736" s="36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</row>
    <row r="737" spans="1:73">
      <c r="A737" s="13"/>
      <c r="B737" s="13"/>
      <c r="C737" s="13"/>
      <c r="D737" s="13"/>
      <c r="E737" s="13"/>
      <c r="F737" s="13"/>
      <c r="G737" s="36"/>
      <c r="H737" s="36"/>
      <c r="I737" s="36"/>
      <c r="J737" s="36"/>
      <c r="K737" s="36"/>
      <c r="L737" s="36"/>
      <c r="M737" s="36"/>
      <c r="N737" s="13"/>
      <c r="O737" s="202"/>
      <c r="P737" s="36"/>
      <c r="Q737" s="52"/>
      <c r="R737" s="52"/>
      <c r="S737" s="52"/>
      <c r="U737" s="202"/>
      <c r="V737" s="202"/>
      <c r="W737" s="202"/>
      <c r="X737" s="202"/>
      <c r="Y737" s="13"/>
      <c r="Z737" s="36"/>
      <c r="AA737" s="13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289"/>
      <c r="AO737" s="289"/>
      <c r="AP737" s="289"/>
      <c r="AQ737" s="36"/>
      <c r="AR737" s="283"/>
      <c r="AS737" s="13"/>
      <c r="AT737" s="13"/>
      <c r="AU737" s="32"/>
      <c r="AV737" s="277"/>
      <c r="AW737" s="277"/>
      <c r="AX737" s="277"/>
      <c r="AY737" s="280"/>
      <c r="AZ737" s="268"/>
      <c r="BA737" s="268"/>
      <c r="BB737" s="13"/>
      <c r="BC737" s="36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</row>
    <row r="738" spans="1:73">
      <c r="A738" s="13"/>
      <c r="B738" s="13"/>
      <c r="C738" s="13"/>
      <c r="D738" s="13"/>
      <c r="E738" s="13"/>
      <c r="F738" s="13"/>
      <c r="G738" s="36"/>
      <c r="H738" s="36"/>
      <c r="I738" s="36"/>
      <c r="J738" s="36"/>
      <c r="K738" s="36"/>
      <c r="L738" s="36"/>
      <c r="M738" s="36"/>
      <c r="N738" s="13"/>
      <c r="O738" s="202"/>
      <c r="P738" s="36"/>
      <c r="Q738" s="52"/>
      <c r="R738" s="52"/>
      <c r="S738" s="52"/>
      <c r="U738" s="202"/>
      <c r="V738" s="202"/>
      <c r="W738" s="202"/>
      <c r="X738" s="202"/>
      <c r="Y738" s="13"/>
      <c r="Z738" s="36"/>
      <c r="AA738" s="13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289"/>
      <c r="AO738" s="289"/>
      <c r="AP738" s="289"/>
      <c r="AQ738" s="36"/>
      <c r="AR738" s="283"/>
      <c r="AS738" s="13"/>
      <c r="AT738" s="13"/>
      <c r="AU738" s="32"/>
      <c r="AV738" s="277"/>
      <c r="AW738" s="277"/>
      <c r="AX738" s="277"/>
      <c r="AY738" s="280"/>
      <c r="AZ738" s="268"/>
      <c r="BA738" s="268"/>
      <c r="BB738" s="13"/>
      <c r="BC738" s="36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</row>
    <row r="739" spans="1:73">
      <c r="A739" s="13"/>
      <c r="B739" s="13"/>
      <c r="C739" s="13"/>
      <c r="D739" s="13"/>
      <c r="E739" s="13"/>
      <c r="F739" s="13"/>
      <c r="G739" s="36"/>
      <c r="H739" s="36"/>
      <c r="I739" s="36"/>
      <c r="J739" s="36"/>
      <c r="K739" s="36"/>
      <c r="L739" s="36"/>
      <c r="M739" s="36"/>
      <c r="N739" s="13"/>
      <c r="O739" s="202"/>
      <c r="P739" s="36"/>
      <c r="Q739" s="52"/>
      <c r="R739" s="52"/>
      <c r="S739" s="52"/>
      <c r="U739" s="202"/>
      <c r="V739" s="202"/>
      <c r="W739" s="202"/>
      <c r="X739" s="202"/>
      <c r="Y739" s="13"/>
      <c r="Z739" s="36"/>
      <c r="AA739" s="13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289"/>
      <c r="AO739" s="289"/>
      <c r="AP739" s="289"/>
      <c r="AQ739" s="36"/>
      <c r="AR739" s="283"/>
      <c r="AS739" s="13"/>
      <c r="AT739" s="13"/>
      <c r="AU739" s="32"/>
      <c r="AV739" s="277"/>
      <c r="AW739" s="277"/>
      <c r="AX739" s="277"/>
      <c r="AY739" s="280"/>
      <c r="AZ739" s="268"/>
      <c r="BA739" s="268"/>
      <c r="BB739" s="13"/>
      <c r="BC739" s="36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</row>
    <row r="740" spans="1:73">
      <c r="A740" s="13"/>
      <c r="B740" s="13"/>
      <c r="C740" s="13"/>
      <c r="D740" s="13"/>
      <c r="E740" s="13"/>
      <c r="F740" s="13"/>
      <c r="G740" s="36"/>
      <c r="H740" s="36"/>
      <c r="I740" s="36"/>
      <c r="J740" s="36"/>
      <c r="K740" s="36"/>
      <c r="L740" s="36"/>
      <c r="M740" s="36"/>
      <c r="N740" s="13"/>
      <c r="O740" s="202"/>
      <c r="P740" s="36"/>
      <c r="Q740" s="52"/>
      <c r="R740" s="52"/>
      <c r="S740" s="52"/>
      <c r="U740" s="202"/>
      <c r="V740" s="202"/>
      <c r="W740" s="202"/>
      <c r="X740" s="202"/>
      <c r="Y740" s="13"/>
      <c r="Z740" s="36"/>
      <c r="AA740" s="13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289"/>
      <c r="AO740" s="289"/>
      <c r="AP740" s="289"/>
      <c r="AQ740" s="36"/>
      <c r="AR740" s="283"/>
      <c r="AS740" s="13"/>
      <c r="AT740" s="13"/>
      <c r="AU740" s="32"/>
      <c r="AV740" s="277"/>
      <c r="AW740" s="277"/>
      <c r="AX740" s="277"/>
      <c r="AY740" s="280"/>
      <c r="AZ740" s="268"/>
      <c r="BA740" s="268"/>
      <c r="BB740" s="13"/>
      <c r="BC740" s="36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</row>
    <row r="741" spans="1:73">
      <c r="A741" s="13"/>
      <c r="B741" s="13"/>
      <c r="C741" s="13"/>
      <c r="D741" s="13"/>
      <c r="E741" s="13"/>
      <c r="F741" s="13"/>
      <c r="G741" s="36"/>
      <c r="H741" s="36"/>
      <c r="I741" s="36"/>
      <c r="J741" s="36"/>
      <c r="K741" s="36"/>
      <c r="L741" s="36"/>
      <c r="M741" s="36"/>
      <c r="N741" s="13"/>
      <c r="O741" s="202"/>
      <c r="P741" s="36"/>
      <c r="Q741" s="52"/>
      <c r="R741" s="52"/>
      <c r="S741" s="52"/>
      <c r="U741" s="202"/>
      <c r="V741" s="202"/>
      <c r="W741" s="202"/>
      <c r="X741" s="202"/>
      <c r="Y741" s="13"/>
      <c r="Z741" s="36"/>
      <c r="AA741" s="13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289"/>
      <c r="AO741" s="289"/>
      <c r="AP741" s="289"/>
      <c r="AQ741" s="36"/>
      <c r="AR741" s="283"/>
      <c r="AS741" s="13"/>
      <c r="AT741" s="13"/>
      <c r="AU741" s="32"/>
      <c r="AV741" s="277"/>
      <c r="AW741" s="277"/>
      <c r="AX741" s="277"/>
      <c r="AY741" s="280"/>
      <c r="AZ741" s="268"/>
      <c r="BA741" s="268"/>
      <c r="BB741" s="13"/>
      <c r="BC741" s="36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</row>
    <row r="742" spans="1:73">
      <c r="A742" s="13"/>
      <c r="B742" s="13"/>
      <c r="C742" s="13"/>
      <c r="D742" s="13"/>
      <c r="E742" s="13"/>
      <c r="F742" s="13"/>
      <c r="G742" s="36"/>
      <c r="H742" s="36"/>
      <c r="I742" s="36"/>
      <c r="J742" s="36"/>
      <c r="K742" s="36"/>
      <c r="L742" s="36"/>
      <c r="M742" s="36"/>
      <c r="N742" s="13"/>
      <c r="O742" s="202"/>
      <c r="P742" s="36"/>
      <c r="Q742" s="52"/>
      <c r="R742" s="52"/>
      <c r="S742" s="52"/>
      <c r="U742" s="202"/>
      <c r="V742" s="202"/>
      <c r="W742" s="202"/>
      <c r="X742" s="202"/>
      <c r="Y742" s="13"/>
      <c r="Z742" s="36"/>
      <c r="AA742" s="13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289"/>
      <c r="AO742" s="289"/>
      <c r="AP742" s="289"/>
      <c r="AQ742" s="36"/>
      <c r="AR742" s="283"/>
      <c r="AS742" s="13"/>
      <c r="AT742" s="13"/>
      <c r="AU742" s="32"/>
      <c r="AV742" s="277"/>
      <c r="AW742" s="277"/>
      <c r="AX742" s="277"/>
      <c r="AY742" s="280"/>
      <c r="AZ742" s="268"/>
      <c r="BA742" s="268"/>
      <c r="BB742" s="13"/>
      <c r="BC742" s="36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</row>
    <row r="743" spans="1:73">
      <c r="A743" s="13"/>
      <c r="B743" s="13"/>
      <c r="C743" s="13"/>
      <c r="D743" s="13"/>
      <c r="E743" s="13"/>
      <c r="F743" s="13"/>
      <c r="G743" s="36"/>
      <c r="H743" s="36"/>
      <c r="I743" s="36"/>
      <c r="J743" s="36"/>
      <c r="K743" s="36"/>
      <c r="L743" s="36"/>
      <c r="M743" s="36"/>
      <c r="N743" s="13"/>
      <c r="O743" s="202"/>
      <c r="P743" s="36"/>
      <c r="Q743" s="52"/>
      <c r="R743" s="52"/>
      <c r="S743" s="52"/>
      <c r="U743" s="202"/>
      <c r="V743" s="202"/>
      <c r="W743" s="202"/>
      <c r="X743" s="202"/>
      <c r="Y743" s="13"/>
      <c r="Z743" s="36"/>
      <c r="AA743" s="13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289"/>
      <c r="AO743" s="289"/>
      <c r="AP743" s="289"/>
      <c r="AQ743" s="36"/>
      <c r="AR743" s="283"/>
      <c r="AS743" s="13"/>
      <c r="AT743" s="13"/>
      <c r="AU743" s="32"/>
      <c r="AV743" s="277"/>
      <c r="AW743" s="277"/>
      <c r="AX743" s="277"/>
      <c r="AY743" s="280"/>
      <c r="AZ743" s="268"/>
      <c r="BA743" s="268"/>
      <c r="BB743" s="13"/>
      <c r="BC743" s="36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</row>
    <row r="744" spans="1:73">
      <c r="A744" s="13"/>
      <c r="B744" s="13"/>
      <c r="C744" s="13"/>
      <c r="D744" s="13"/>
      <c r="E744" s="13"/>
      <c r="F744" s="13"/>
      <c r="G744" s="36"/>
      <c r="H744" s="36"/>
      <c r="I744" s="36"/>
      <c r="J744" s="36"/>
      <c r="K744" s="36"/>
      <c r="L744" s="36"/>
      <c r="M744" s="36"/>
      <c r="N744" s="13"/>
      <c r="O744" s="202"/>
      <c r="P744" s="36"/>
      <c r="Q744" s="52"/>
      <c r="R744" s="52"/>
      <c r="S744" s="52"/>
      <c r="U744" s="202"/>
      <c r="V744" s="202"/>
      <c r="W744" s="202"/>
      <c r="X744" s="202"/>
      <c r="Y744" s="13"/>
      <c r="Z744" s="36"/>
      <c r="AA744" s="13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289"/>
      <c r="AO744" s="289"/>
      <c r="AP744" s="289"/>
      <c r="AQ744" s="36"/>
      <c r="AR744" s="283"/>
      <c r="AS744" s="13"/>
      <c r="AT744" s="13"/>
      <c r="AU744" s="32"/>
      <c r="AV744" s="277"/>
      <c r="AW744" s="277"/>
      <c r="AX744" s="277"/>
      <c r="AY744" s="280"/>
      <c r="AZ744" s="268"/>
      <c r="BA744" s="268"/>
      <c r="BB744" s="13"/>
      <c r="BC744" s="36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</row>
    <row r="745" spans="1:73">
      <c r="A745" s="13"/>
      <c r="B745" s="13"/>
      <c r="C745" s="13"/>
      <c r="D745" s="13"/>
      <c r="E745" s="13"/>
      <c r="F745" s="13"/>
      <c r="G745" s="36"/>
      <c r="H745" s="36"/>
      <c r="I745" s="36"/>
      <c r="J745" s="36"/>
      <c r="K745" s="36"/>
      <c r="L745" s="36"/>
      <c r="M745" s="36"/>
      <c r="N745" s="13"/>
      <c r="O745" s="202"/>
      <c r="P745" s="36"/>
      <c r="Q745" s="52"/>
      <c r="R745" s="52"/>
      <c r="S745" s="52"/>
      <c r="U745" s="202"/>
      <c r="V745" s="202"/>
      <c r="W745" s="202"/>
      <c r="X745" s="202"/>
      <c r="Y745" s="13"/>
      <c r="Z745" s="36"/>
      <c r="AA745" s="13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289"/>
      <c r="AO745" s="289"/>
      <c r="AP745" s="289"/>
      <c r="AQ745" s="36"/>
      <c r="AR745" s="283"/>
      <c r="AS745" s="13"/>
      <c r="AT745" s="13"/>
      <c r="AU745" s="32"/>
      <c r="AV745" s="277"/>
      <c r="AW745" s="277"/>
      <c r="AX745" s="277"/>
      <c r="AY745" s="280"/>
      <c r="AZ745" s="268"/>
      <c r="BA745" s="268"/>
      <c r="BB745" s="13"/>
      <c r="BC745" s="36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</row>
    <row r="746" spans="1:73">
      <c r="A746" s="13"/>
      <c r="B746" s="13"/>
      <c r="C746" s="13"/>
      <c r="D746" s="13"/>
      <c r="E746" s="13"/>
      <c r="F746" s="13"/>
      <c r="G746" s="36"/>
      <c r="H746" s="36"/>
      <c r="I746" s="36"/>
      <c r="J746" s="36"/>
      <c r="K746" s="36"/>
      <c r="L746" s="36"/>
      <c r="M746" s="36"/>
      <c r="N746" s="13"/>
      <c r="O746" s="202"/>
      <c r="P746" s="36"/>
      <c r="Q746" s="52"/>
      <c r="R746" s="52"/>
      <c r="S746" s="52"/>
      <c r="U746" s="202"/>
      <c r="V746" s="202"/>
      <c r="W746" s="202"/>
      <c r="X746" s="202"/>
      <c r="Y746" s="13"/>
      <c r="Z746" s="36"/>
      <c r="AA746" s="13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289"/>
      <c r="AO746" s="289"/>
      <c r="AP746" s="289"/>
      <c r="AQ746" s="36"/>
      <c r="AR746" s="283"/>
      <c r="AS746" s="13"/>
      <c r="AT746" s="13"/>
      <c r="AU746" s="32"/>
      <c r="AV746" s="277"/>
      <c r="AW746" s="277"/>
      <c r="AX746" s="277"/>
      <c r="AY746" s="280"/>
      <c r="AZ746" s="268"/>
      <c r="BA746" s="268"/>
      <c r="BB746" s="13"/>
      <c r="BC746" s="36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</row>
    <row r="747" spans="1:73">
      <c r="A747" s="13"/>
      <c r="B747" s="13"/>
      <c r="C747" s="13"/>
      <c r="D747" s="13"/>
      <c r="E747" s="13"/>
      <c r="F747" s="13"/>
      <c r="G747" s="36"/>
      <c r="H747" s="36"/>
      <c r="I747" s="36"/>
      <c r="J747" s="36"/>
      <c r="K747" s="36"/>
      <c r="L747" s="36"/>
      <c r="M747" s="36"/>
      <c r="N747" s="13"/>
      <c r="O747" s="202"/>
      <c r="P747" s="36"/>
      <c r="Q747" s="52"/>
      <c r="R747" s="52"/>
      <c r="S747" s="52"/>
      <c r="U747" s="202"/>
      <c r="V747" s="202"/>
      <c r="W747" s="202"/>
      <c r="X747" s="202"/>
      <c r="Y747" s="13"/>
      <c r="Z747" s="36"/>
      <c r="AA747" s="13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289"/>
      <c r="AO747" s="289"/>
      <c r="AP747" s="289"/>
      <c r="AQ747" s="36"/>
      <c r="AR747" s="283"/>
      <c r="AS747" s="13"/>
      <c r="AT747" s="13"/>
      <c r="AU747" s="32"/>
      <c r="AV747" s="277"/>
      <c r="AW747" s="277"/>
      <c r="AX747" s="277"/>
      <c r="AY747" s="280"/>
      <c r="AZ747" s="268"/>
      <c r="BA747" s="268"/>
      <c r="BB747" s="13"/>
      <c r="BC747" s="36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</row>
    <row r="748" spans="1:73">
      <c r="A748" s="13"/>
      <c r="B748" s="13"/>
      <c r="C748" s="13"/>
      <c r="D748" s="13"/>
      <c r="E748" s="13"/>
      <c r="F748" s="13"/>
      <c r="G748" s="36"/>
      <c r="H748" s="36"/>
      <c r="I748" s="36"/>
      <c r="J748" s="36"/>
      <c r="K748" s="36"/>
      <c r="L748" s="36"/>
      <c r="M748" s="36"/>
      <c r="N748" s="13"/>
      <c r="O748" s="202"/>
      <c r="P748" s="36"/>
      <c r="Q748" s="52"/>
      <c r="R748" s="52"/>
      <c r="S748" s="52"/>
      <c r="U748" s="202"/>
      <c r="V748" s="202"/>
      <c r="W748" s="202"/>
      <c r="X748" s="202"/>
      <c r="Y748" s="13"/>
      <c r="Z748" s="36"/>
      <c r="AA748" s="13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289"/>
      <c r="AO748" s="289"/>
      <c r="AP748" s="289"/>
      <c r="AQ748" s="36"/>
      <c r="AR748" s="283"/>
      <c r="AS748" s="13"/>
      <c r="AT748" s="13"/>
      <c r="AU748" s="32"/>
      <c r="AV748" s="277"/>
      <c r="AW748" s="277"/>
      <c r="AX748" s="277"/>
      <c r="AY748" s="280"/>
      <c r="AZ748" s="268"/>
      <c r="BA748" s="268"/>
      <c r="BB748" s="13"/>
      <c r="BC748" s="36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</row>
    <row r="749" spans="1:73">
      <c r="A749" s="13"/>
      <c r="B749" s="13"/>
      <c r="C749" s="13"/>
      <c r="D749" s="13"/>
      <c r="E749" s="13"/>
      <c r="F749" s="13"/>
      <c r="G749" s="36"/>
      <c r="H749" s="36"/>
      <c r="I749" s="36"/>
      <c r="J749" s="36"/>
      <c r="K749" s="36"/>
      <c r="L749" s="36"/>
      <c r="M749" s="36"/>
      <c r="N749" s="13"/>
      <c r="O749" s="202"/>
      <c r="P749" s="36"/>
      <c r="Q749" s="52"/>
      <c r="R749" s="52"/>
      <c r="S749" s="52"/>
      <c r="U749" s="202"/>
      <c r="V749" s="202"/>
      <c r="W749" s="202"/>
      <c r="X749" s="202"/>
      <c r="Y749" s="13"/>
      <c r="Z749" s="36"/>
      <c r="AA749" s="13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289"/>
      <c r="AO749" s="289"/>
      <c r="AP749" s="289"/>
      <c r="AQ749" s="36"/>
      <c r="AR749" s="283"/>
      <c r="AS749" s="13"/>
      <c r="AT749" s="13"/>
      <c r="AU749" s="32"/>
      <c r="AV749" s="277"/>
      <c r="AW749" s="277"/>
      <c r="AX749" s="277"/>
      <c r="AY749" s="280"/>
      <c r="AZ749" s="268"/>
      <c r="BA749" s="268"/>
      <c r="BB749" s="13"/>
      <c r="BC749" s="36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</row>
    <row r="750" spans="1:73">
      <c r="A750" s="13"/>
      <c r="B750" s="13"/>
      <c r="C750" s="13"/>
      <c r="D750" s="13"/>
      <c r="E750" s="13"/>
      <c r="F750" s="13"/>
      <c r="G750" s="36"/>
      <c r="H750" s="36"/>
      <c r="I750" s="36"/>
      <c r="J750" s="36"/>
      <c r="K750" s="36"/>
      <c r="L750" s="36"/>
      <c r="M750" s="36"/>
      <c r="N750" s="13"/>
      <c r="O750" s="202"/>
      <c r="P750" s="36"/>
      <c r="Q750" s="52"/>
      <c r="R750" s="52"/>
      <c r="S750" s="52"/>
      <c r="U750" s="202"/>
      <c r="V750" s="202"/>
      <c r="W750" s="202"/>
      <c r="X750" s="202"/>
      <c r="Y750" s="13"/>
      <c r="Z750" s="36"/>
      <c r="AA750" s="13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289"/>
      <c r="AO750" s="289"/>
      <c r="AP750" s="289"/>
      <c r="AQ750" s="36"/>
      <c r="AR750" s="283"/>
      <c r="AS750" s="13"/>
      <c r="AT750" s="13"/>
      <c r="AU750" s="32"/>
      <c r="AV750" s="277"/>
      <c r="AW750" s="277"/>
      <c r="AX750" s="277"/>
      <c r="AY750" s="280"/>
      <c r="AZ750" s="268"/>
      <c r="BA750" s="268"/>
      <c r="BB750" s="13"/>
      <c r="BC750" s="36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</row>
    <row r="751" spans="1:73">
      <c r="A751" s="13"/>
      <c r="B751" s="13"/>
      <c r="C751" s="13"/>
      <c r="D751" s="13"/>
      <c r="E751" s="13"/>
      <c r="F751" s="13"/>
      <c r="G751" s="36"/>
      <c r="H751" s="36"/>
      <c r="I751" s="36"/>
      <c r="J751" s="36"/>
      <c r="K751" s="36"/>
      <c r="L751" s="36"/>
      <c r="M751" s="36"/>
      <c r="N751" s="13"/>
      <c r="O751" s="202"/>
      <c r="P751" s="36"/>
      <c r="Q751" s="52"/>
      <c r="R751" s="52"/>
      <c r="S751" s="52"/>
      <c r="U751" s="202"/>
      <c r="V751" s="202"/>
      <c r="W751" s="202"/>
      <c r="X751" s="202"/>
      <c r="Y751" s="13"/>
      <c r="Z751" s="36"/>
      <c r="AA751" s="13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289"/>
      <c r="AO751" s="289"/>
      <c r="AP751" s="289"/>
      <c r="AQ751" s="36"/>
      <c r="AR751" s="283"/>
      <c r="AS751" s="13"/>
      <c r="AT751" s="13"/>
      <c r="AU751" s="32"/>
      <c r="AV751" s="277"/>
      <c r="AW751" s="277"/>
      <c r="AX751" s="277"/>
      <c r="AY751" s="280"/>
      <c r="AZ751" s="268"/>
      <c r="BA751" s="268"/>
      <c r="BB751" s="13"/>
      <c r="BC751" s="36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</row>
    <row r="752" spans="1:73">
      <c r="A752" s="13"/>
      <c r="B752" s="13"/>
      <c r="C752" s="13"/>
      <c r="D752" s="13"/>
      <c r="E752" s="13"/>
      <c r="F752" s="13"/>
      <c r="G752" s="36"/>
      <c r="H752" s="36"/>
      <c r="I752" s="36"/>
      <c r="J752" s="36"/>
      <c r="K752" s="36"/>
      <c r="L752" s="36"/>
      <c r="M752" s="36"/>
      <c r="N752" s="13"/>
      <c r="O752" s="202"/>
      <c r="P752" s="36"/>
      <c r="Q752" s="52"/>
      <c r="R752" s="52"/>
      <c r="S752" s="52"/>
      <c r="U752" s="202"/>
      <c r="V752" s="202"/>
      <c r="W752" s="202"/>
      <c r="X752" s="202"/>
      <c r="Y752" s="13"/>
      <c r="Z752" s="36"/>
      <c r="AA752" s="13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289"/>
      <c r="AO752" s="289"/>
      <c r="AP752" s="289"/>
      <c r="AQ752" s="36"/>
      <c r="AR752" s="283"/>
      <c r="AS752" s="13"/>
      <c r="AT752" s="13"/>
      <c r="AU752" s="32"/>
      <c r="AV752" s="277"/>
      <c r="AW752" s="277"/>
      <c r="AX752" s="277"/>
      <c r="AY752" s="280"/>
      <c r="AZ752" s="268"/>
      <c r="BA752" s="268"/>
      <c r="BB752" s="13"/>
      <c r="BC752" s="36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</row>
    <row r="753" spans="1:73">
      <c r="A753" s="13"/>
      <c r="B753" s="13"/>
      <c r="C753" s="13"/>
      <c r="D753" s="13"/>
      <c r="E753" s="13"/>
      <c r="F753" s="13"/>
      <c r="G753" s="36"/>
      <c r="H753" s="36"/>
      <c r="I753" s="36"/>
      <c r="J753" s="36"/>
      <c r="K753" s="36"/>
      <c r="L753" s="36"/>
      <c r="M753" s="36"/>
      <c r="N753" s="13"/>
      <c r="O753" s="202"/>
      <c r="P753" s="36"/>
      <c r="Q753" s="52"/>
      <c r="R753" s="52"/>
      <c r="S753" s="52"/>
      <c r="U753" s="202"/>
      <c r="V753" s="202"/>
      <c r="W753" s="202"/>
      <c r="X753" s="202"/>
      <c r="Y753" s="13"/>
      <c r="Z753" s="36"/>
      <c r="AA753" s="13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289"/>
      <c r="AO753" s="289"/>
      <c r="AP753" s="289"/>
      <c r="AQ753" s="36"/>
      <c r="AR753" s="283"/>
      <c r="AS753" s="13"/>
      <c r="AT753" s="13"/>
      <c r="AU753" s="32"/>
      <c r="AV753" s="277"/>
      <c r="AW753" s="277"/>
      <c r="AX753" s="277"/>
      <c r="AY753" s="280"/>
      <c r="AZ753" s="268"/>
      <c r="BA753" s="268"/>
      <c r="BB753" s="13"/>
      <c r="BC753" s="36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</row>
    <row r="754" spans="1:73">
      <c r="A754" s="13"/>
      <c r="B754" s="13"/>
      <c r="C754" s="13"/>
      <c r="D754" s="13"/>
      <c r="E754" s="13"/>
      <c r="F754" s="13"/>
      <c r="G754" s="36"/>
      <c r="H754" s="36"/>
      <c r="I754" s="36"/>
      <c r="J754" s="36"/>
      <c r="K754" s="36"/>
      <c r="L754" s="36"/>
      <c r="M754" s="36"/>
      <c r="N754" s="13"/>
      <c r="O754" s="202"/>
      <c r="P754" s="36"/>
      <c r="Q754" s="52"/>
      <c r="R754" s="52"/>
      <c r="S754" s="52"/>
      <c r="U754" s="202"/>
      <c r="V754" s="202"/>
      <c r="W754" s="202"/>
      <c r="X754" s="202"/>
      <c r="Y754" s="13"/>
      <c r="Z754" s="36"/>
      <c r="AA754" s="13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289"/>
      <c r="AO754" s="289"/>
      <c r="AP754" s="289"/>
      <c r="AQ754" s="36"/>
      <c r="AR754" s="283"/>
      <c r="AS754" s="13"/>
      <c r="AT754" s="13"/>
      <c r="AU754" s="32"/>
      <c r="AV754" s="277"/>
      <c r="AW754" s="277"/>
      <c r="AX754" s="277"/>
      <c r="AY754" s="280"/>
      <c r="AZ754" s="268"/>
      <c r="BA754" s="268"/>
      <c r="BB754" s="13"/>
      <c r="BC754" s="36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</row>
    <row r="755" spans="1:73">
      <c r="A755" s="13"/>
      <c r="B755" s="13"/>
      <c r="C755" s="13"/>
      <c r="D755" s="13"/>
      <c r="E755" s="13"/>
      <c r="F755" s="13"/>
      <c r="G755" s="36"/>
      <c r="H755" s="36"/>
      <c r="I755" s="36"/>
      <c r="J755" s="36"/>
      <c r="K755" s="36"/>
      <c r="L755" s="36"/>
      <c r="M755" s="36"/>
      <c r="N755" s="13"/>
      <c r="O755" s="202"/>
      <c r="P755" s="36"/>
      <c r="Q755" s="52"/>
      <c r="R755" s="52"/>
      <c r="S755" s="52"/>
      <c r="U755" s="202"/>
      <c r="V755" s="202"/>
      <c r="W755" s="202"/>
      <c r="X755" s="202"/>
      <c r="Y755" s="13"/>
      <c r="Z755" s="36"/>
      <c r="AA755" s="13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289"/>
      <c r="AO755" s="289"/>
      <c r="AP755" s="289"/>
      <c r="AQ755" s="36"/>
      <c r="AR755" s="283"/>
      <c r="AS755" s="13"/>
      <c r="AT755" s="13"/>
      <c r="AU755" s="32"/>
      <c r="AV755" s="277"/>
      <c r="AW755" s="277"/>
      <c r="AX755" s="277"/>
      <c r="AY755" s="280"/>
      <c r="AZ755" s="268"/>
      <c r="BA755" s="268"/>
      <c r="BB755" s="13"/>
      <c r="BC755" s="36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</row>
    <row r="756" spans="1:73">
      <c r="A756" s="13"/>
      <c r="B756" s="13"/>
      <c r="C756" s="13"/>
      <c r="D756" s="13"/>
      <c r="E756" s="13"/>
      <c r="F756" s="13"/>
      <c r="G756" s="36"/>
      <c r="H756" s="36"/>
      <c r="I756" s="36"/>
      <c r="J756" s="36"/>
      <c r="K756" s="36"/>
      <c r="L756" s="36"/>
      <c r="M756" s="36"/>
      <c r="N756" s="13"/>
      <c r="O756" s="202"/>
      <c r="P756" s="36"/>
      <c r="Q756" s="52"/>
      <c r="R756" s="52"/>
      <c r="S756" s="52"/>
      <c r="U756" s="202"/>
      <c r="V756" s="202"/>
      <c r="W756" s="202"/>
      <c r="X756" s="202"/>
      <c r="Y756" s="13"/>
      <c r="Z756" s="36"/>
      <c r="AA756" s="13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289"/>
      <c r="AO756" s="289"/>
      <c r="AP756" s="289"/>
      <c r="AQ756" s="36"/>
      <c r="AR756" s="283"/>
      <c r="AS756" s="13"/>
      <c r="AT756" s="13"/>
      <c r="AU756" s="32"/>
      <c r="AV756" s="277"/>
      <c r="AW756" s="277"/>
      <c r="AX756" s="277"/>
      <c r="AY756" s="280"/>
      <c r="AZ756" s="268"/>
      <c r="BA756" s="268"/>
      <c r="BB756" s="13"/>
      <c r="BC756" s="36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</row>
    <row r="757" spans="1:73">
      <c r="A757" s="13"/>
      <c r="B757" s="13"/>
      <c r="C757" s="13"/>
      <c r="D757" s="13"/>
      <c r="E757" s="13"/>
      <c r="F757" s="13"/>
      <c r="G757" s="36"/>
      <c r="H757" s="36"/>
      <c r="I757" s="36"/>
      <c r="J757" s="36"/>
      <c r="K757" s="36"/>
      <c r="L757" s="36"/>
      <c r="M757" s="36"/>
      <c r="N757" s="13"/>
      <c r="O757" s="202"/>
      <c r="P757" s="36"/>
      <c r="Q757" s="52"/>
      <c r="R757" s="52"/>
      <c r="S757" s="52"/>
      <c r="U757" s="202"/>
      <c r="V757" s="202"/>
      <c r="W757" s="202"/>
      <c r="X757" s="202"/>
      <c r="Y757" s="13"/>
      <c r="Z757" s="36"/>
      <c r="AA757" s="13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289"/>
      <c r="AO757" s="289"/>
      <c r="AP757" s="289"/>
      <c r="AQ757" s="36"/>
      <c r="AR757" s="283"/>
      <c r="AS757" s="13"/>
      <c r="AT757" s="13"/>
      <c r="AU757" s="32"/>
      <c r="AV757" s="277"/>
      <c r="AW757" s="277"/>
      <c r="AX757" s="277"/>
      <c r="AY757" s="280"/>
      <c r="AZ757" s="268"/>
      <c r="BA757" s="268"/>
      <c r="BB757" s="13"/>
      <c r="BC757" s="36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</row>
    <row r="758" spans="1:73">
      <c r="A758" s="13"/>
      <c r="B758" s="13"/>
      <c r="C758" s="13"/>
      <c r="D758" s="13"/>
      <c r="E758" s="13"/>
      <c r="F758" s="13"/>
      <c r="G758" s="36"/>
      <c r="H758" s="36"/>
      <c r="I758" s="36"/>
      <c r="J758" s="36"/>
      <c r="K758" s="36"/>
      <c r="L758" s="36"/>
      <c r="M758" s="36"/>
      <c r="N758" s="13"/>
      <c r="O758" s="202"/>
      <c r="P758" s="36"/>
      <c r="Q758" s="52"/>
      <c r="R758" s="52"/>
      <c r="S758" s="52"/>
      <c r="U758" s="202"/>
      <c r="V758" s="202"/>
      <c r="W758" s="202"/>
      <c r="X758" s="202"/>
      <c r="Y758" s="13"/>
      <c r="Z758" s="36"/>
      <c r="AA758" s="13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289"/>
      <c r="AO758" s="289"/>
      <c r="AP758" s="289"/>
      <c r="AQ758" s="36"/>
      <c r="AR758" s="283"/>
      <c r="AS758" s="13"/>
      <c r="AT758" s="13"/>
      <c r="AU758" s="32"/>
      <c r="AV758" s="277"/>
      <c r="AW758" s="277"/>
      <c r="AX758" s="277"/>
      <c r="AY758" s="280"/>
      <c r="AZ758" s="268"/>
      <c r="BA758" s="268"/>
      <c r="BB758" s="13"/>
      <c r="BC758" s="36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</row>
    <row r="759" spans="1:73">
      <c r="A759" s="13"/>
      <c r="B759" s="13"/>
      <c r="C759" s="13"/>
      <c r="D759" s="13"/>
      <c r="E759" s="13"/>
      <c r="F759" s="13"/>
      <c r="G759" s="36"/>
      <c r="H759" s="36"/>
      <c r="I759" s="36"/>
      <c r="J759" s="36"/>
      <c r="K759" s="36"/>
      <c r="L759" s="36"/>
      <c r="M759" s="36"/>
      <c r="N759" s="13"/>
      <c r="O759" s="202"/>
      <c r="P759" s="36"/>
      <c r="Q759" s="52"/>
      <c r="R759" s="52"/>
      <c r="S759" s="52"/>
      <c r="U759" s="202"/>
      <c r="V759" s="202"/>
      <c r="W759" s="202"/>
      <c r="X759" s="202"/>
      <c r="Y759" s="13"/>
      <c r="Z759" s="36"/>
      <c r="AA759" s="13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289"/>
      <c r="AO759" s="289"/>
      <c r="AP759" s="289"/>
      <c r="AQ759" s="36"/>
      <c r="AR759" s="283"/>
      <c r="AS759" s="13"/>
      <c r="AT759" s="13"/>
      <c r="AU759" s="32"/>
      <c r="AV759" s="277"/>
      <c r="AW759" s="277"/>
      <c r="AX759" s="277"/>
      <c r="AY759" s="280"/>
      <c r="AZ759" s="268"/>
      <c r="BA759" s="268"/>
      <c r="BB759" s="13"/>
      <c r="BC759" s="36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</row>
    <row r="760" spans="1:73">
      <c r="A760" s="13"/>
      <c r="B760" s="13"/>
      <c r="C760" s="13"/>
      <c r="D760" s="13"/>
      <c r="E760" s="13"/>
      <c r="F760" s="13"/>
      <c r="G760" s="36"/>
      <c r="H760" s="36"/>
      <c r="I760" s="36"/>
      <c r="J760" s="36"/>
      <c r="K760" s="36"/>
      <c r="L760" s="36"/>
      <c r="M760" s="36"/>
      <c r="N760" s="13"/>
      <c r="O760" s="202"/>
      <c r="P760" s="36"/>
      <c r="Q760" s="52"/>
      <c r="R760" s="52"/>
      <c r="S760" s="52"/>
      <c r="U760" s="202"/>
      <c r="V760" s="202"/>
      <c r="W760" s="202"/>
      <c r="X760" s="202"/>
      <c r="Y760" s="13"/>
      <c r="Z760" s="36"/>
      <c r="AA760" s="13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289"/>
      <c r="AO760" s="289"/>
      <c r="AP760" s="289"/>
      <c r="AQ760" s="36"/>
      <c r="AR760" s="283"/>
      <c r="AS760" s="13"/>
      <c r="AT760" s="13"/>
      <c r="AU760" s="32"/>
      <c r="AV760" s="277"/>
      <c r="AW760" s="277"/>
      <c r="AX760" s="277"/>
      <c r="AY760" s="280"/>
      <c r="AZ760" s="268"/>
      <c r="BA760" s="268"/>
      <c r="BB760" s="13"/>
      <c r="BC760" s="36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</row>
    <row r="761" spans="1:73">
      <c r="A761" s="13"/>
      <c r="B761" s="13"/>
      <c r="C761" s="13"/>
      <c r="D761" s="13"/>
      <c r="E761" s="13"/>
      <c r="F761" s="13"/>
      <c r="G761" s="36"/>
      <c r="H761" s="36"/>
      <c r="I761" s="36"/>
      <c r="J761" s="36"/>
      <c r="K761" s="36"/>
      <c r="L761" s="36"/>
      <c r="M761" s="36"/>
      <c r="N761" s="13"/>
      <c r="O761" s="202"/>
      <c r="P761" s="36"/>
      <c r="Q761" s="52"/>
      <c r="R761" s="52"/>
      <c r="S761" s="52"/>
      <c r="U761" s="202"/>
      <c r="V761" s="202"/>
      <c r="W761" s="202"/>
      <c r="X761" s="202"/>
      <c r="Y761" s="13"/>
      <c r="Z761" s="36"/>
      <c r="AA761" s="13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289"/>
      <c r="AO761" s="289"/>
      <c r="AP761" s="289"/>
      <c r="AQ761" s="36"/>
      <c r="AR761" s="283"/>
      <c r="AS761" s="13"/>
      <c r="AT761" s="13"/>
      <c r="AU761" s="32"/>
      <c r="AV761" s="277"/>
      <c r="AW761" s="277"/>
      <c r="AX761" s="277"/>
      <c r="AY761" s="280"/>
      <c r="AZ761" s="268"/>
      <c r="BA761" s="268"/>
      <c r="BB761" s="13"/>
      <c r="BC761" s="36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</row>
    <row r="762" spans="1:73">
      <c r="A762" s="13"/>
      <c r="B762" s="13"/>
      <c r="C762" s="13"/>
      <c r="D762" s="13"/>
      <c r="E762" s="13"/>
      <c r="F762" s="13"/>
      <c r="G762" s="36"/>
      <c r="H762" s="36"/>
      <c r="I762" s="36"/>
      <c r="J762" s="36"/>
      <c r="K762" s="36"/>
      <c r="L762" s="36"/>
      <c r="M762" s="36"/>
      <c r="N762" s="13"/>
      <c r="O762" s="202"/>
      <c r="P762" s="36"/>
      <c r="Q762" s="52"/>
      <c r="R762" s="52"/>
      <c r="S762" s="52"/>
      <c r="U762" s="202"/>
      <c r="V762" s="202"/>
      <c r="W762" s="202"/>
      <c r="X762" s="202"/>
      <c r="Y762" s="13"/>
      <c r="Z762" s="36"/>
      <c r="AA762" s="13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289"/>
      <c r="AO762" s="289"/>
      <c r="AP762" s="289"/>
      <c r="AQ762" s="36"/>
      <c r="AR762" s="283"/>
      <c r="AS762" s="13"/>
      <c r="AT762" s="13"/>
      <c r="AU762" s="32"/>
      <c r="AV762" s="277"/>
      <c r="AW762" s="277"/>
      <c r="AX762" s="277"/>
      <c r="AY762" s="280"/>
      <c r="AZ762" s="268"/>
      <c r="BA762" s="268"/>
      <c r="BB762" s="13"/>
      <c r="BC762" s="36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</row>
    <row r="763" spans="1:73">
      <c r="A763" s="13"/>
      <c r="B763" s="13"/>
      <c r="C763" s="13"/>
      <c r="D763" s="13"/>
      <c r="E763" s="13"/>
      <c r="F763" s="13"/>
      <c r="G763" s="36"/>
      <c r="H763" s="36"/>
      <c r="I763" s="36"/>
      <c r="J763" s="36"/>
      <c r="K763" s="36"/>
      <c r="L763" s="36"/>
      <c r="M763" s="36"/>
      <c r="N763" s="13"/>
      <c r="O763" s="202"/>
      <c r="P763" s="36"/>
      <c r="Q763" s="52"/>
      <c r="R763" s="52"/>
      <c r="S763" s="52"/>
      <c r="U763" s="202"/>
      <c r="V763" s="202"/>
      <c r="W763" s="202"/>
      <c r="X763" s="202"/>
      <c r="Y763" s="13"/>
      <c r="Z763" s="36"/>
      <c r="AA763" s="13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289"/>
      <c r="AO763" s="289"/>
      <c r="AP763" s="289"/>
      <c r="AQ763" s="36"/>
      <c r="AR763" s="283"/>
      <c r="AS763" s="13"/>
      <c r="AT763" s="13"/>
      <c r="AU763" s="32"/>
      <c r="AV763" s="277"/>
      <c r="AW763" s="277"/>
      <c r="AX763" s="277"/>
      <c r="AY763" s="280"/>
      <c r="AZ763" s="268"/>
      <c r="BA763" s="268"/>
      <c r="BB763" s="13"/>
      <c r="BC763" s="36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</row>
    <row r="764" spans="1:73">
      <c r="A764" s="13"/>
      <c r="B764" s="13"/>
      <c r="C764" s="13"/>
      <c r="D764" s="13"/>
      <c r="E764" s="13"/>
      <c r="F764" s="13"/>
      <c r="G764" s="36"/>
      <c r="H764" s="36"/>
      <c r="I764" s="36"/>
      <c r="J764" s="36"/>
      <c r="K764" s="36"/>
      <c r="L764" s="36"/>
      <c r="M764" s="36"/>
      <c r="N764" s="13"/>
      <c r="O764" s="202"/>
      <c r="P764" s="36"/>
      <c r="Q764" s="52"/>
      <c r="R764" s="52"/>
      <c r="S764" s="52"/>
      <c r="U764" s="202"/>
      <c r="V764" s="202"/>
      <c r="W764" s="202"/>
      <c r="X764" s="202"/>
      <c r="Y764" s="13"/>
      <c r="Z764" s="36"/>
      <c r="AA764" s="13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289"/>
      <c r="AO764" s="289"/>
      <c r="AP764" s="289"/>
      <c r="AQ764" s="36"/>
      <c r="AR764" s="283"/>
      <c r="AS764" s="13"/>
      <c r="AT764" s="13"/>
      <c r="AU764" s="32"/>
      <c r="AV764" s="277"/>
      <c r="AW764" s="277"/>
      <c r="AX764" s="277"/>
      <c r="AY764" s="280"/>
      <c r="AZ764" s="268"/>
      <c r="BA764" s="268"/>
      <c r="BB764" s="13"/>
      <c r="BC764" s="36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</row>
    <row r="765" spans="1:73">
      <c r="A765" s="13"/>
      <c r="B765" s="13"/>
      <c r="C765" s="13"/>
      <c r="D765" s="13"/>
      <c r="E765" s="13"/>
      <c r="F765" s="13"/>
      <c r="G765" s="36"/>
      <c r="H765" s="36"/>
      <c r="I765" s="36"/>
      <c r="J765" s="36"/>
      <c r="K765" s="36"/>
      <c r="L765" s="36"/>
      <c r="M765" s="36"/>
      <c r="N765" s="13"/>
      <c r="O765" s="202"/>
      <c r="P765" s="36"/>
      <c r="Q765" s="52"/>
      <c r="R765" s="52"/>
      <c r="S765" s="52"/>
      <c r="U765" s="202"/>
      <c r="V765" s="202"/>
      <c r="W765" s="202"/>
      <c r="X765" s="202"/>
      <c r="Y765" s="13"/>
      <c r="Z765" s="36"/>
      <c r="AA765" s="13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289"/>
      <c r="AO765" s="289"/>
      <c r="AP765" s="289"/>
      <c r="AQ765" s="36"/>
      <c r="AR765" s="283"/>
      <c r="AS765" s="13"/>
      <c r="AT765" s="13"/>
      <c r="AU765" s="32"/>
      <c r="AV765" s="277"/>
      <c r="AW765" s="277"/>
      <c r="AX765" s="277"/>
      <c r="AY765" s="280"/>
      <c r="AZ765" s="268"/>
      <c r="BA765" s="268"/>
      <c r="BB765" s="13"/>
      <c r="BC765" s="36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</row>
    <row r="766" spans="1:73">
      <c r="A766" s="13"/>
      <c r="B766" s="13"/>
      <c r="C766" s="13"/>
      <c r="D766" s="13"/>
      <c r="E766" s="13"/>
      <c r="F766" s="13"/>
      <c r="G766" s="36"/>
      <c r="H766" s="36"/>
      <c r="I766" s="36"/>
      <c r="J766" s="36"/>
      <c r="K766" s="36"/>
      <c r="L766" s="36"/>
      <c r="M766" s="36"/>
      <c r="N766" s="13"/>
      <c r="O766" s="202"/>
      <c r="P766" s="36"/>
      <c r="Q766" s="52"/>
      <c r="R766" s="52"/>
      <c r="S766" s="52"/>
      <c r="U766" s="202"/>
      <c r="V766" s="202"/>
      <c r="W766" s="202"/>
      <c r="X766" s="202"/>
      <c r="Y766" s="13"/>
      <c r="Z766" s="36"/>
      <c r="AA766" s="13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289"/>
      <c r="AO766" s="289"/>
      <c r="AP766" s="289"/>
      <c r="AQ766" s="36"/>
      <c r="AR766" s="283"/>
      <c r="AS766" s="13"/>
      <c r="AT766" s="13"/>
      <c r="AU766" s="32"/>
      <c r="AV766" s="277"/>
      <c r="AW766" s="277"/>
      <c r="AX766" s="277"/>
      <c r="AY766" s="280"/>
      <c r="AZ766" s="268"/>
      <c r="BA766" s="268"/>
      <c r="BB766" s="13"/>
      <c r="BC766" s="36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</row>
    <row r="767" spans="1:73">
      <c r="A767" s="13"/>
      <c r="B767" s="13"/>
      <c r="C767" s="13"/>
      <c r="D767" s="13"/>
      <c r="E767" s="13"/>
      <c r="F767" s="13"/>
      <c r="G767" s="36"/>
      <c r="H767" s="36"/>
      <c r="I767" s="36"/>
      <c r="J767" s="36"/>
      <c r="K767" s="36"/>
      <c r="L767" s="36"/>
      <c r="M767" s="36"/>
      <c r="N767" s="13"/>
      <c r="O767" s="202"/>
      <c r="P767" s="36"/>
      <c r="Q767" s="52"/>
      <c r="R767" s="52"/>
      <c r="S767" s="52"/>
      <c r="U767" s="202"/>
      <c r="V767" s="202"/>
      <c r="W767" s="202"/>
      <c r="X767" s="202"/>
      <c r="Y767" s="13"/>
      <c r="Z767" s="36"/>
      <c r="AA767" s="13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289"/>
      <c r="AO767" s="289"/>
      <c r="AP767" s="289"/>
      <c r="AQ767" s="36"/>
      <c r="AR767" s="283"/>
      <c r="AS767" s="13"/>
      <c r="AT767" s="13"/>
      <c r="AU767" s="32"/>
      <c r="AV767" s="277"/>
      <c r="AW767" s="277"/>
      <c r="AX767" s="277"/>
      <c r="AY767" s="280"/>
      <c r="AZ767" s="268"/>
      <c r="BA767" s="268"/>
      <c r="BB767" s="13"/>
      <c r="BC767" s="36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</row>
    <row r="768" spans="1:73">
      <c r="A768" s="13"/>
      <c r="B768" s="13"/>
      <c r="C768" s="13"/>
      <c r="D768" s="13"/>
      <c r="E768" s="13"/>
      <c r="F768" s="13"/>
      <c r="G768" s="36"/>
      <c r="H768" s="36"/>
      <c r="I768" s="36"/>
      <c r="J768" s="36"/>
      <c r="K768" s="36"/>
      <c r="L768" s="36"/>
      <c r="M768" s="36"/>
      <c r="N768" s="13"/>
      <c r="O768" s="202"/>
      <c r="P768" s="36"/>
      <c r="Q768" s="52"/>
      <c r="R768" s="52"/>
      <c r="S768" s="52"/>
      <c r="U768" s="202"/>
      <c r="V768" s="202"/>
      <c r="W768" s="202"/>
      <c r="X768" s="202"/>
      <c r="Y768" s="13"/>
      <c r="Z768" s="36"/>
      <c r="AA768" s="13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289"/>
      <c r="AO768" s="289"/>
      <c r="AP768" s="289"/>
      <c r="AQ768" s="36"/>
      <c r="AR768" s="283"/>
      <c r="AS768" s="13"/>
      <c r="AT768" s="13"/>
      <c r="AU768" s="32"/>
      <c r="AV768" s="277"/>
      <c r="AW768" s="277"/>
      <c r="AX768" s="277"/>
      <c r="AY768" s="280"/>
      <c r="AZ768" s="268"/>
      <c r="BA768" s="268"/>
      <c r="BB768" s="13"/>
      <c r="BC768" s="36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</row>
    <row r="769" spans="1:73">
      <c r="A769" s="13"/>
      <c r="B769" s="13"/>
      <c r="C769" s="13"/>
      <c r="D769" s="13"/>
      <c r="E769" s="13"/>
      <c r="F769" s="13"/>
      <c r="G769" s="36"/>
      <c r="H769" s="36"/>
      <c r="I769" s="36"/>
      <c r="J769" s="36"/>
      <c r="K769" s="36"/>
      <c r="L769" s="36"/>
      <c r="M769" s="36"/>
      <c r="N769" s="13"/>
      <c r="O769" s="202"/>
      <c r="P769" s="36"/>
      <c r="Q769" s="52"/>
      <c r="R769" s="52"/>
      <c r="S769" s="52"/>
      <c r="U769" s="202"/>
      <c r="V769" s="202"/>
      <c r="W769" s="202"/>
      <c r="X769" s="202"/>
      <c r="Y769" s="13"/>
      <c r="Z769" s="36"/>
      <c r="AA769" s="13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289"/>
      <c r="AO769" s="289"/>
      <c r="AP769" s="289"/>
      <c r="AQ769" s="36"/>
      <c r="AR769" s="283"/>
      <c r="AS769" s="13"/>
      <c r="AT769" s="13"/>
      <c r="AU769" s="32"/>
      <c r="AV769" s="277"/>
      <c r="AW769" s="277"/>
      <c r="AX769" s="277"/>
      <c r="AY769" s="280"/>
      <c r="AZ769" s="268"/>
      <c r="BA769" s="268"/>
      <c r="BB769" s="13"/>
      <c r="BC769" s="36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</row>
    <row r="770" spans="1:73">
      <c r="A770" s="13"/>
      <c r="B770" s="13"/>
      <c r="C770" s="13"/>
      <c r="D770" s="13"/>
      <c r="E770" s="13"/>
      <c r="F770" s="13"/>
      <c r="G770" s="36"/>
      <c r="H770" s="36"/>
      <c r="I770" s="36"/>
      <c r="J770" s="36"/>
      <c r="K770" s="36"/>
      <c r="L770" s="36"/>
      <c r="M770" s="36"/>
      <c r="N770" s="13"/>
      <c r="O770" s="202"/>
      <c r="P770" s="36"/>
      <c r="Q770" s="52"/>
      <c r="R770" s="52"/>
      <c r="S770" s="52"/>
      <c r="U770" s="202"/>
      <c r="V770" s="202"/>
      <c r="W770" s="202"/>
      <c r="X770" s="202"/>
      <c r="Y770" s="13"/>
      <c r="Z770" s="36"/>
      <c r="AA770" s="13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289"/>
      <c r="AO770" s="289"/>
      <c r="AP770" s="289"/>
      <c r="AQ770" s="36"/>
      <c r="AR770" s="283"/>
      <c r="AS770" s="13"/>
      <c r="AT770" s="13"/>
      <c r="AU770" s="32"/>
      <c r="AV770" s="277"/>
      <c r="AW770" s="277"/>
      <c r="AX770" s="277"/>
      <c r="AY770" s="280"/>
      <c r="AZ770" s="268"/>
      <c r="BA770" s="268"/>
      <c r="BB770" s="13"/>
      <c r="BC770" s="36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</row>
    <row r="771" spans="1:73">
      <c r="A771" s="13"/>
      <c r="B771" s="13"/>
      <c r="C771" s="13"/>
      <c r="D771" s="13"/>
      <c r="E771" s="13"/>
      <c r="F771" s="13"/>
      <c r="G771" s="36"/>
      <c r="H771" s="36"/>
      <c r="I771" s="36"/>
      <c r="J771" s="36"/>
      <c r="K771" s="36"/>
      <c r="L771" s="36"/>
      <c r="M771" s="36"/>
      <c r="N771" s="13"/>
      <c r="O771" s="202"/>
      <c r="P771" s="36"/>
      <c r="Q771" s="52"/>
      <c r="R771" s="52"/>
      <c r="S771" s="52"/>
      <c r="U771" s="202"/>
      <c r="V771" s="202"/>
      <c r="W771" s="202"/>
      <c r="X771" s="202"/>
      <c r="Y771" s="13"/>
      <c r="Z771" s="36"/>
      <c r="AA771" s="13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289"/>
      <c r="AO771" s="289"/>
      <c r="AP771" s="289"/>
      <c r="AQ771" s="36"/>
      <c r="AR771" s="283"/>
      <c r="AS771" s="13"/>
      <c r="AT771" s="13"/>
      <c r="AU771" s="32"/>
      <c r="AV771" s="277"/>
      <c r="AW771" s="277"/>
      <c r="AX771" s="277"/>
      <c r="AY771" s="280"/>
      <c r="AZ771" s="268"/>
      <c r="BA771" s="268"/>
      <c r="BB771" s="13"/>
      <c r="BC771" s="36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</row>
    <row r="772" spans="1:73">
      <c r="A772" s="13"/>
      <c r="B772" s="13"/>
      <c r="C772" s="13"/>
      <c r="D772" s="13"/>
      <c r="E772" s="13"/>
      <c r="F772" s="13"/>
      <c r="G772" s="36"/>
      <c r="H772" s="36"/>
      <c r="I772" s="36"/>
      <c r="J772" s="36"/>
      <c r="K772" s="36"/>
      <c r="L772" s="36"/>
      <c r="M772" s="36"/>
      <c r="N772" s="13"/>
      <c r="O772" s="202"/>
      <c r="P772" s="36"/>
      <c r="Q772" s="52"/>
      <c r="R772" s="52"/>
      <c r="S772" s="52"/>
      <c r="U772" s="202"/>
      <c r="V772" s="202"/>
      <c r="W772" s="202"/>
      <c r="X772" s="202"/>
      <c r="Y772" s="13"/>
      <c r="Z772" s="36"/>
      <c r="AA772" s="13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289"/>
      <c r="AO772" s="289"/>
      <c r="AP772" s="289"/>
      <c r="AQ772" s="36"/>
      <c r="AR772" s="283"/>
      <c r="AS772" s="13"/>
      <c r="AT772" s="13"/>
      <c r="AU772" s="32"/>
      <c r="AV772" s="277"/>
      <c r="AW772" s="277"/>
      <c r="AX772" s="277"/>
      <c r="AY772" s="280"/>
      <c r="AZ772" s="268"/>
      <c r="BA772" s="268"/>
      <c r="BB772" s="13"/>
      <c r="BC772" s="36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</row>
    <row r="773" spans="1:73">
      <c r="A773" s="13"/>
      <c r="B773" s="13"/>
      <c r="C773" s="13"/>
      <c r="D773" s="13"/>
      <c r="E773" s="13"/>
      <c r="F773" s="13"/>
      <c r="G773" s="36"/>
      <c r="H773" s="36"/>
      <c r="I773" s="36"/>
      <c r="J773" s="36"/>
      <c r="K773" s="36"/>
      <c r="L773" s="36"/>
      <c r="M773" s="36"/>
      <c r="N773" s="13"/>
      <c r="O773" s="202"/>
      <c r="P773" s="36"/>
      <c r="Q773" s="52"/>
      <c r="R773" s="52"/>
      <c r="S773" s="52"/>
      <c r="U773" s="202"/>
      <c r="V773" s="202"/>
      <c r="W773" s="202"/>
      <c r="X773" s="202"/>
      <c r="Y773" s="13"/>
      <c r="Z773" s="36"/>
      <c r="AA773" s="13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289"/>
      <c r="AO773" s="289"/>
      <c r="AP773" s="289"/>
      <c r="AQ773" s="36"/>
      <c r="AR773" s="283"/>
      <c r="AS773" s="13"/>
      <c r="AT773" s="13"/>
      <c r="AU773" s="32"/>
      <c r="AV773" s="277"/>
      <c r="AW773" s="277"/>
      <c r="AX773" s="277"/>
      <c r="AY773" s="280"/>
      <c r="AZ773" s="268"/>
      <c r="BA773" s="268"/>
      <c r="BB773" s="13"/>
      <c r="BC773" s="36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</row>
    <row r="774" spans="1:73">
      <c r="A774" s="13"/>
      <c r="B774" s="13"/>
      <c r="C774" s="13"/>
      <c r="D774" s="13"/>
      <c r="E774" s="13"/>
      <c r="F774" s="13"/>
      <c r="G774" s="36"/>
      <c r="H774" s="36"/>
      <c r="I774" s="36"/>
      <c r="J774" s="36"/>
      <c r="K774" s="36"/>
      <c r="L774" s="36"/>
      <c r="M774" s="36"/>
      <c r="N774" s="13"/>
      <c r="O774" s="202"/>
      <c r="P774" s="36"/>
      <c r="Q774" s="52"/>
      <c r="R774" s="52"/>
      <c r="S774" s="52"/>
      <c r="U774" s="202"/>
      <c r="V774" s="202"/>
      <c r="W774" s="202"/>
      <c r="X774" s="202"/>
      <c r="Y774" s="13"/>
      <c r="Z774" s="36"/>
      <c r="AA774" s="13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289"/>
      <c r="AO774" s="289"/>
      <c r="AP774" s="289"/>
      <c r="AQ774" s="36"/>
      <c r="AR774" s="283"/>
      <c r="AS774" s="13"/>
      <c r="AT774" s="13"/>
      <c r="AU774" s="32"/>
      <c r="AV774" s="277"/>
      <c r="AW774" s="277"/>
      <c r="AX774" s="277"/>
      <c r="AY774" s="280"/>
      <c r="AZ774" s="268"/>
      <c r="BA774" s="268"/>
      <c r="BB774" s="13"/>
      <c r="BC774" s="36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</row>
    <row r="775" spans="1:73">
      <c r="A775" s="13"/>
      <c r="B775" s="13"/>
      <c r="C775" s="13"/>
      <c r="D775" s="13"/>
      <c r="E775" s="13"/>
      <c r="F775" s="13"/>
      <c r="G775" s="36"/>
      <c r="H775" s="36"/>
      <c r="I775" s="36"/>
      <c r="J775" s="36"/>
      <c r="K775" s="36"/>
      <c r="L775" s="36"/>
      <c r="M775" s="36"/>
      <c r="N775" s="13"/>
      <c r="O775" s="202"/>
      <c r="P775" s="36"/>
      <c r="Q775" s="52"/>
      <c r="R775" s="52"/>
      <c r="S775" s="52"/>
      <c r="U775" s="202"/>
      <c r="V775" s="202"/>
      <c r="W775" s="202"/>
      <c r="X775" s="202"/>
      <c r="Y775" s="13"/>
      <c r="Z775" s="36"/>
      <c r="AA775" s="13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289"/>
      <c r="AO775" s="289"/>
      <c r="AP775" s="289"/>
      <c r="AQ775" s="36"/>
      <c r="AR775" s="283"/>
      <c r="AS775" s="13"/>
      <c r="AT775" s="13"/>
      <c r="AU775" s="32"/>
      <c r="AV775" s="277"/>
      <c r="AW775" s="277"/>
      <c r="AX775" s="277"/>
      <c r="AY775" s="280"/>
      <c r="AZ775" s="268"/>
      <c r="BA775" s="268"/>
      <c r="BB775" s="13"/>
      <c r="BC775" s="36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</row>
    <row r="776" spans="1:73">
      <c r="A776" s="13"/>
      <c r="B776" s="13"/>
      <c r="C776" s="13"/>
      <c r="D776" s="13"/>
      <c r="E776" s="13"/>
      <c r="F776" s="13"/>
      <c r="G776" s="36"/>
      <c r="H776" s="36"/>
      <c r="I776" s="36"/>
      <c r="J776" s="36"/>
      <c r="K776" s="36"/>
      <c r="L776" s="36"/>
      <c r="M776" s="36"/>
      <c r="N776" s="13"/>
      <c r="O776" s="202"/>
      <c r="P776" s="36"/>
      <c r="Q776" s="52"/>
      <c r="R776" s="52"/>
      <c r="S776" s="52"/>
      <c r="U776" s="202"/>
      <c r="V776" s="202"/>
      <c r="W776" s="202"/>
      <c r="X776" s="202"/>
      <c r="Y776" s="13"/>
      <c r="Z776" s="36"/>
      <c r="AA776" s="13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289"/>
      <c r="AO776" s="289"/>
      <c r="AP776" s="289"/>
      <c r="AQ776" s="36"/>
      <c r="AR776" s="283"/>
      <c r="AS776" s="13"/>
      <c r="AT776" s="13"/>
      <c r="AU776" s="32"/>
      <c r="AV776" s="277"/>
      <c r="AW776" s="277"/>
      <c r="AX776" s="277"/>
      <c r="AY776" s="280"/>
      <c r="AZ776" s="268"/>
      <c r="BA776" s="268"/>
      <c r="BB776" s="13"/>
      <c r="BC776" s="36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</row>
    <row r="777" spans="1:73">
      <c r="A777" s="13"/>
      <c r="B777" s="13"/>
      <c r="C777" s="13"/>
      <c r="D777" s="13"/>
      <c r="E777" s="13"/>
      <c r="F777" s="13"/>
      <c r="G777" s="36"/>
      <c r="H777" s="36"/>
      <c r="I777" s="36"/>
      <c r="J777" s="36"/>
      <c r="K777" s="36"/>
      <c r="L777" s="36"/>
      <c r="M777" s="36"/>
      <c r="N777" s="13"/>
      <c r="O777" s="202"/>
      <c r="P777" s="36"/>
      <c r="Q777" s="52"/>
      <c r="R777" s="52"/>
      <c r="S777" s="52"/>
      <c r="U777" s="202"/>
      <c r="V777" s="202"/>
      <c r="W777" s="202"/>
      <c r="X777" s="202"/>
      <c r="Y777" s="13"/>
      <c r="Z777" s="36"/>
      <c r="AA777" s="13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289"/>
      <c r="AO777" s="289"/>
      <c r="AP777" s="289"/>
      <c r="AQ777" s="36"/>
      <c r="AR777" s="283"/>
      <c r="AS777" s="13"/>
      <c r="AT777" s="13"/>
      <c r="AU777" s="32"/>
      <c r="AV777" s="277"/>
      <c r="AW777" s="277"/>
      <c r="AX777" s="277"/>
      <c r="AY777" s="280"/>
      <c r="AZ777" s="268"/>
      <c r="BA777" s="268"/>
      <c r="BB777" s="13"/>
      <c r="BC777" s="36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</row>
    <row r="778" spans="1:73">
      <c r="A778" s="13"/>
      <c r="B778" s="13"/>
      <c r="C778" s="13"/>
      <c r="D778" s="13"/>
      <c r="E778" s="13"/>
      <c r="F778" s="13"/>
      <c r="G778" s="36"/>
      <c r="H778" s="36"/>
      <c r="I778" s="36"/>
      <c r="J778" s="36"/>
      <c r="K778" s="36"/>
      <c r="L778" s="36"/>
      <c r="M778" s="36"/>
      <c r="N778" s="13"/>
      <c r="O778" s="202"/>
      <c r="P778" s="36"/>
      <c r="Q778" s="52"/>
      <c r="R778" s="52"/>
      <c r="S778" s="52"/>
      <c r="U778" s="202"/>
      <c r="V778" s="202"/>
      <c r="W778" s="202"/>
      <c r="X778" s="202"/>
      <c r="Y778" s="13"/>
      <c r="Z778" s="36"/>
      <c r="AA778" s="13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289"/>
      <c r="AO778" s="289"/>
      <c r="AP778" s="289"/>
      <c r="AQ778" s="36"/>
      <c r="AR778" s="283"/>
      <c r="AS778" s="13"/>
      <c r="AT778" s="13"/>
      <c r="AU778" s="32"/>
      <c r="AV778" s="277"/>
      <c r="AW778" s="277"/>
      <c r="AX778" s="277"/>
      <c r="AY778" s="280"/>
      <c r="AZ778" s="268"/>
      <c r="BA778" s="268"/>
      <c r="BB778" s="13"/>
      <c r="BC778" s="36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</row>
    <row r="779" spans="1:73">
      <c r="A779" s="13"/>
      <c r="B779" s="13"/>
      <c r="C779" s="13"/>
      <c r="D779" s="13"/>
      <c r="E779" s="13"/>
      <c r="F779" s="13"/>
      <c r="G779" s="36"/>
      <c r="H779" s="36"/>
      <c r="I779" s="36"/>
      <c r="J779" s="36"/>
      <c r="K779" s="36"/>
      <c r="L779" s="36"/>
      <c r="M779" s="36"/>
      <c r="N779" s="13"/>
      <c r="O779" s="202"/>
      <c r="P779" s="36"/>
      <c r="Q779" s="52"/>
      <c r="R779" s="52"/>
      <c r="S779" s="52"/>
      <c r="U779" s="202"/>
      <c r="V779" s="202"/>
      <c r="W779" s="202"/>
      <c r="X779" s="202"/>
      <c r="Y779" s="13"/>
      <c r="Z779" s="36"/>
      <c r="AA779" s="13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289"/>
      <c r="AO779" s="289"/>
      <c r="AP779" s="289"/>
      <c r="AQ779" s="36"/>
      <c r="AR779" s="283"/>
      <c r="AS779" s="13"/>
      <c r="AT779" s="13"/>
      <c r="AU779" s="32"/>
      <c r="AV779" s="277"/>
      <c r="AW779" s="277"/>
      <c r="AX779" s="277"/>
      <c r="AY779" s="280"/>
      <c r="AZ779" s="268"/>
      <c r="BA779" s="268"/>
      <c r="BB779" s="13"/>
      <c r="BC779" s="36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</row>
    <row r="780" spans="1:73">
      <c r="A780" s="13"/>
      <c r="B780" s="13"/>
      <c r="C780" s="13"/>
      <c r="D780" s="13"/>
      <c r="E780" s="13"/>
      <c r="F780" s="13"/>
      <c r="G780" s="36"/>
      <c r="H780" s="36"/>
      <c r="I780" s="36"/>
      <c r="J780" s="36"/>
      <c r="K780" s="36"/>
      <c r="L780" s="36"/>
      <c r="M780" s="36"/>
      <c r="N780" s="13"/>
      <c r="O780" s="202"/>
      <c r="P780" s="36"/>
      <c r="Q780" s="52"/>
      <c r="R780" s="52"/>
      <c r="S780" s="52"/>
      <c r="U780" s="202"/>
      <c r="V780" s="202"/>
      <c r="W780" s="202"/>
      <c r="X780" s="202"/>
      <c r="Y780" s="13"/>
      <c r="Z780" s="36"/>
      <c r="AA780" s="13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289"/>
      <c r="AO780" s="289"/>
      <c r="AP780" s="289"/>
      <c r="AQ780" s="36"/>
      <c r="AR780" s="283"/>
      <c r="AS780" s="13"/>
      <c r="AT780" s="13"/>
      <c r="AU780" s="32"/>
      <c r="AV780" s="277"/>
      <c r="AW780" s="277"/>
      <c r="AX780" s="277"/>
      <c r="AY780" s="280"/>
      <c r="AZ780" s="268"/>
      <c r="BA780" s="268"/>
      <c r="BB780" s="13"/>
      <c r="BC780" s="36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</row>
    <row r="781" spans="1:73">
      <c r="A781" s="13"/>
      <c r="B781" s="13"/>
      <c r="C781" s="13"/>
      <c r="D781" s="13"/>
      <c r="E781" s="13"/>
      <c r="F781" s="13"/>
      <c r="G781" s="36"/>
      <c r="H781" s="36"/>
      <c r="I781" s="36"/>
      <c r="J781" s="36"/>
      <c r="K781" s="36"/>
      <c r="L781" s="36"/>
      <c r="M781" s="36"/>
      <c r="N781" s="13"/>
      <c r="O781" s="202"/>
      <c r="P781" s="36"/>
      <c r="Q781" s="52"/>
      <c r="R781" s="52"/>
      <c r="S781" s="52"/>
      <c r="U781" s="202"/>
      <c r="V781" s="202"/>
      <c r="W781" s="202"/>
      <c r="X781" s="202"/>
      <c r="Y781" s="13"/>
      <c r="Z781" s="36"/>
      <c r="AA781" s="13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289"/>
      <c r="AO781" s="289"/>
      <c r="AP781" s="289"/>
      <c r="AQ781" s="36"/>
      <c r="AR781" s="283"/>
      <c r="AS781" s="13"/>
      <c r="AT781" s="13"/>
      <c r="AU781" s="32"/>
      <c r="AV781" s="277"/>
      <c r="AW781" s="277"/>
      <c r="AX781" s="277"/>
      <c r="AY781" s="280"/>
      <c r="AZ781" s="268"/>
      <c r="BA781" s="268"/>
      <c r="BB781" s="13"/>
      <c r="BC781" s="36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</row>
    <row r="782" spans="1:73">
      <c r="A782" s="13"/>
      <c r="B782" s="13"/>
      <c r="C782" s="13"/>
      <c r="D782" s="13"/>
      <c r="E782" s="13"/>
      <c r="F782" s="13"/>
      <c r="G782" s="36"/>
      <c r="H782" s="36"/>
      <c r="I782" s="36"/>
      <c r="J782" s="36"/>
      <c r="K782" s="36"/>
      <c r="L782" s="36"/>
      <c r="M782" s="36"/>
      <c r="N782" s="13"/>
      <c r="O782" s="202"/>
      <c r="P782" s="36"/>
      <c r="Q782" s="52"/>
      <c r="R782" s="52"/>
      <c r="S782" s="52"/>
      <c r="U782" s="202"/>
      <c r="V782" s="202"/>
      <c r="W782" s="202"/>
      <c r="X782" s="202"/>
      <c r="Y782" s="13"/>
      <c r="Z782" s="36"/>
      <c r="AA782" s="13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289"/>
      <c r="AO782" s="289"/>
      <c r="AP782" s="289"/>
      <c r="AQ782" s="36"/>
      <c r="AR782" s="283"/>
      <c r="AS782" s="13"/>
      <c r="AT782" s="13"/>
      <c r="AU782" s="32"/>
      <c r="AV782" s="277"/>
      <c r="AW782" s="277"/>
      <c r="AX782" s="277"/>
      <c r="AY782" s="280"/>
      <c r="AZ782" s="268"/>
      <c r="BA782" s="268"/>
      <c r="BB782" s="13"/>
      <c r="BC782" s="36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</row>
    <row r="783" spans="1:73">
      <c r="A783" s="13"/>
      <c r="B783" s="13"/>
      <c r="C783" s="13"/>
      <c r="D783" s="13"/>
      <c r="E783" s="13"/>
      <c r="F783" s="13"/>
      <c r="G783" s="36"/>
      <c r="H783" s="36"/>
      <c r="I783" s="36"/>
      <c r="J783" s="36"/>
      <c r="K783" s="36"/>
      <c r="L783" s="36"/>
      <c r="M783" s="36"/>
      <c r="N783" s="13"/>
      <c r="O783" s="202"/>
      <c r="P783" s="36"/>
      <c r="Q783" s="52"/>
      <c r="R783" s="52"/>
      <c r="S783" s="52"/>
      <c r="U783" s="202"/>
      <c r="V783" s="202"/>
      <c r="W783" s="202"/>
      <c r="X783" s="202"/>
      <c r="Y783" s="13"/>
      <c r="Z783" s="36"/>
      <c r="AA783" s="13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289"/>
      <c r="AO783" s="289"/>
      <c r="AP783" s="289"/>
      <c r="AQ783" s="36"/>
      <c r="AR783" s="283"/>
      <c r="AS783" s="13"/>
      <c r="AT783" s="13"/>
      <c r="AU783" s="32"/>
      <c r="AV783" s="277"/>
      <c r="AW783" s="277"/>
      <c r="AX783" s="277"/>
      <c r="AY783" s="280"/>
      <c r="AZ783" s="268"/>
      <c r="BA783" s="268"/>
      <c r="BB783" s="13"/>
      <c r="BC783" s="36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</row>
    <row r="784" spans="1:73">
      <c r="A784" s="13"/>
      <c r="B784" s="13"/>
      <c r="C784" s="13"/>
      <c r="D784" s="13"/>
      <c r="E784" s="13"/>
      <c r="F784" s="13"/>
      <c r="G784" s="36"/>
      <c r="H784" s="36"/>
      <c r="I784" s="36"/>
      <c r="J784" s="36"/>
      <c r="K784" s="36"/>
      <c r="L784" s="36"/>
      <c r="M784" s="36"/>
      <c r="N784" s="13"/>
      <c r="O784" s="202"/>
      <c r="P784" s="36"/>
      <c r="Q784" s="52"/>
      <c r="R784" s="52"/>
      <c r="S784" s="52"/>
      <c r="U784" s="202"/>
      <c r="V784" s="202"/>
      <c r="W784" s="202"/>
      <c r="X784" s="202"/>
      <c r="Y784" s="13"/>
      <c r="Z784" s="36"/>
      <c r="AA784" s="13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289"/>
      <c r="AO784" s="289"/>
      <c r="AP784" s="289"/>
      <c r="AQ784" s="36"/>
      <c r="AR784" s="283"/>
      <c r="AS784" s="13"/>
      <c r="AT784" s="13"/>
      <c r="AU784" s="32"/>
      <c r="AV784" s="277"/>
      <c r="AW784" s="277"/>
      <c r="AX784" s="277"/>
      <c r="AY784" s="280"/>
      <c r="AZ784" s="268"/>
      <c r="BA784" s="268"/>
      <c r="BB784" s="13"/>
      <c r="BC784" s="36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</row>
    <row r="785" spans="1:73">
      <c r="A785" s="13"/>
      <c r="B785" s="13"/>
      <c r="C785" s="13"/>
      <c r="D785" s="13"/>
      <c r="E785" s="13"/>
      <c r="F785" s="13"/>
      <c r="G785" s="36"/>
      <c r="H785" s="36"/>
      <c r="I785" s="36"/>
      <c r="J785" s="36"/>
      <c r="K785" s="36"/>
      <c r="L785" s="36"/>
      <c r="M785" s="36"/>
      <c r="N785" s="13"/>
      <c r="O785" s="202"/>
      <c r="P785" s="36"/>
      <c r="Q785" s="52"/>
      <c r="R785" s="52"/>
      <c r="S785" s="52"/>
      <c r="U785" s="202"/>
      <c r="V785" s="202"/>
      <c r="W785" s="202"/>
      <c r="X785" s="202"/>
      <c r="Y785" s="13"/>
      <c r="Z785" s="36"/>
      <c r="AA785" s="13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289"/>
      <c r="AO785" s="289"/>
      <c r="AP785" s="289"/>
      <c r="AQ785" s="36"/>
      <c r="AR785" s="283"/>
      <c r="AS785" s="13"/>
      <c r="AT785" s="13"/>
      <c r="AU785" s="32"/>
      <c r="AV785" s="277"/>
      <c r="AW785" s="277"/>
      <c r="AX785" s="277"/>
      <c r="AY785" s="280"/>
      <c r="AZ785" s="268"/>
      <c r="BA785" s="268"/>
      <c r="BB785" s="13"/>
      <c r="BC785" s="36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</row>
    <row r="786" spans="1:73">
      <c r="A786" s="13"/>
      <c r="B786" s="13"/>
      <c r="C786" s="13"/>
      <c r="D786" s="13"/>
      <c r="E786" s="13"/>
      <c r="F786" s="13"/>
      <c r="G786" s="36"/>
      <c r="H786" s="36"/>
      <c r="I786" s="36"/>
      <c r="J786" s="36"/>
      <c r="K786" s="36"/>
      <c r="L786" s="36"/>
      <c r="M786" s="36"/>
      <c r="N786" s="13"/>
      <c r="O786" s="202"/>
      <c r="P786" s="36"/>
      <c r="Q786" s="52"/>
      <c r="R786" s="52"/>
      <c r="S786" s="52"/>
      <c r="U786" s="202"/>
      <c r="V786" s="202"/>
      <c r="W786" s="202"/>
      <c r="X786" s="202"/>
      <c r="Y786" s="13"/>
      <c r="Z786" s="36"/>
      <c r="AA786" s="13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289"/>
      <c r="AO786" s="289"/>
      <c r="AP786" s="289"/>
      <c r="AQ786" s="36"/>
      <c r="AR786" s="283"/>
      <c r="AS786" s="13"/>
      <c r="AT786" s="13"/>
      <c r="AU786" s="32"/>
      <c r="AV786" s="277"/>
      <c r="AW786" s="277"/>
      <c r="AX786" s="277"/>
      <c r="AY786" s="280"/>
      <c r="AZ786" s="268"/>
      <c r="BA786" s="268"/>
      <c r="BB786" s="13"/>
      <c r="BC786" s="36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</row>
    <row r="787" spans="1:73">
      <c r="A787" s="13"/>
      <c r="B787" s="13"/>
      <c r="C787" s="13"/>
      <c r="D787" s="13"/>
      <c r="E787" s="13"/>
      <c r="F787" s="13"/>
      <c r="G787" s="36"/>
      <c r="H787" s="36"/>
      <c r="I787" s="36"/>
      <c r="J787" s="36"/>
      <c r="K787" s="36"/>
      <c r="L787" s="36"/>
      <c r="M787" s="36"/>
      <c r="N787" s="13"/>
      <c r="O787" s="202"/>
      <c r="P787" s="36"/>
      <c r="Q787" s="52"/>
      <c r="R787" s="52"/>
      <c r="S787" s="52"/>
      <c r="U787" s="202"/>
      <c r="V787" s="202"/>
      <c r="W787" s="202"/>
      <c r="X787" s="202"/>
      <c r="Y787" s="13"/>
      <c r="Z787" s="36"/>
      <c r="AA787" s="13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289"/>
      <c r="AO787" s="289"/>
      <c r="AP787" s="289"/>
      <c r="AQ787" s="36"/>
      <c r="AR787" s="283"/>
      <c r="AS787" s="13"/>
      <c r="AT787" s="13"/>
      <c r="AU787" s="32"/>
      <c r="AV787" s="277"/>
      <c r="AW787" s="277"/>
      <c r="AX787" s="277"/>
      <c r="AY787" s="280"/>
      <c r="AZ787" s="268"/>
      <c r="BA787" s="268"/>
      <c r="BB787" s="13"/>
      <c r="BC787" s="36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</row>
    <row r="788" spans="1:73">
      <c r="A788" s="13"/>
      <c r="B788" s="13"/>
      <c r="C788" s="13"/>
      <c r="D788" s="13"/>
      <c r="E788" s="13"/>
      <c r="F788" s="13"/>
      <c r="G788" s="36"/>
      <c r="H788" s="36"/>
      <c r="I788" s="36"/>
      <c r="J788" s="36"/>
      <c r="K788" s="36"/>
      <c r="L788" s="36"/>
      <c r="M788" s="36"/>
      <c r="N788" s="13"/>
      <c r="O788" s="202"/>
      <c r="P788" s="36"/>
      <c r="Q788" s="52"/>
      <c r="R788" s="52"/>
      <c r="S788" s="52"/>
      <c r="U788" s="202"/>
      <c r="V788" s="202"/>
      <c r="W788" s="202"/>
      <c r="X788" s="202"/>
      <c r="Y788" s="13"/>
      <c r="Z788" s="36"/>
      <c r="AA788" s="13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289"/>
      <c r="AO788" s="289"/>
      <c r="AP788" s="289"/>
      <c r="AQ788" s="36"/>
      <c r="AR788" s="283"/>
      <c r="AS788" s="13"/>
      <c r="AT788" s="13"/>
      <c r="AU788" s="32"/>
      <c r="AV788" s="277"/>
      <c r="AW788" s="277"/>
      <c r="AX788" s="277"/>
      <c r="AY788" s="280"/>
      <c r="AZ788" s="268"/>
      <c r="BA788" s="268"/>
      <c r="BB788" s="13"/>
      <c r="BC788" s="36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</row>
    <row r="789" spans="1:73">
      <c r="A789" s="13"/>
      <c r="B789" s="13"/>
      <c r="C789" s="13"/>
      <c r="D789" s="13"/>
      <c r="E789" s="13"/>
      <c r="F789" s="13"/>
      <c r="G789" s="36"/>
      <c r="H789" s="36"/>
      <c r="I789" s="36"/>
      <c r="J789" s="36"/>
      <c r="K789" s="36"/>
      <c r="L789" s="36"/>
      <c r="M789" s="36"/>
      <c r="N789" s="13"/>
      <c r="O789" s="202"/>
      <c r="P789" s="36"/>
      <c r="Q789" s="52"/>
      <c r="R789" s="52"/>
      <c r="S789" s="52"/>
      <c r="U789" s="202"/>
      <c r="V789" s="202"/>
      <c r="W789" s="202"/>
      <c r="X789" s="202"/>
      <c r="Y789" s="13"/>
      <c r="Z789" s="36"/>
      <c r="AA789" s="13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289"/>
      <c r="AO789" s="289"/>
      <c r="AP789" s="289"/>
      <c r="AQ789" s="36"/>
      <c r="AR789" s="283"/>
      <c r="AS789" s="13"/>
      <c r="AT789" s="13"/>
      <c r="AU789" s="32"/>
      <c r="AV789" s="277"/>
      <c r="AW789" s="277"/>
      <c r="AX789" s="277"/>
      <c r="AY789" s="280"/>
      <c r="AZ789" s="268"/>
      <c r="BA789" s="268"/>
      <c r="BB789" s="13"/>
      <c r="BC789" s="36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</row>
    <row r="790" spans="1:73">
      <c r="A790" s="13"/>
      <c r="B790" s="13"/>
      <c r="C790" s="13"/>
      <c r="D790" s="13"/>
      <c r="E790" s="13"/>
      <c r="F790" s="13"/>
      <c r="G790" s="36"/>
      <c r="H790" s="36"/>
      <c r="I790" s="36"/>
      <c r="J790" s="36"/>
      <c r="K790" s="36"/>
      <c r="L790" s="36"/>
      <c r="M790" s="36"/>
      <c r="N790" s="13"/>
      <c r="O790" s="202"/>
      <c r="P790" s="36"/>
      <c r="Q790" s="52"/>
      <c r="R790" s="52"/>
      <c r="S790" s="52"/>
      <c r="U790" s="202"/>
      <c r="V790" s="202"/>
      <c r="W790" s="202"/>
      <c r="X790" s="202"/>
      <c r="Y790" s="13"/>
      <c r="Z790" s="36"/>
      <c r="AA790" s="13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289"/>
      <c r="AO790" s="289"/>
      <c r="AP790" s="289"/>
      <c r="AQ790" s="36"/>
      <c r="AR790" s="283"/>
      <c r="AS790" s="13"/>
      <c r="AT790" s="13"/>
      <c r="AU790" s="32"/>
      <c r="AV790" s="277"/>
      <c r="AW790" s="277"/>
      <c r="AX790" s="277"/>
      <c r="AY790" s="280"/>
      <c r="AZ790" s="268"/>
      <c r="BA790" s="268"/>
      <c r="BB790" s="13"/>
      <c r="BC790" s="36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</row>
    <row r="791" spans="1:73">
      <c r="A791" s="13"/>
      <c r="B791" s="13"/>
      <c r="C791" s="13"/>
      <c r="D791" s="13"/>
      <c r="E791" s="13"/>
      <c r="F791" s="13"/>
      <c r="G791" s="36"/>
      <c r="H791" s="36"/>
      <c r="I791" s="36"/>
      <c r="J791" s="36"/>
      <c r="K791" s="36"/>
      <c r="L791" s="36"/>
      <c r="M791" s="36"/>
      <c r="N791" s="13"/>
      <c r="O791" s="202"/>
      <c r="P791" s="36"/>
      <c r="Q791" s="52"/>
      <c r="R791" s="52"/>
      <c r="S791" s="52"/>
      <c r="U791" s="202"/>
      <c r="V791" s="202"/>
      <c r="W791" s="202"/>
      <c r="X791" s="202"/>
      <c r="Y791" s="13"/>
      <c r="Z791" s="36"/>
      <c r="AA791" s="13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289"/>
      <c r="AO791" s="289"/>
      <c r="AP791" s="289"/>
      <c r="AQ791" s="36"/>
      <c r="AR791" s="283"/>
      <c r="AS791" s="13"/>
      <c r="AT791" s="13"/>
      <c r="AU791" s="32"/>
      <c r="AV791" s="277"/>
      <c r="AW791" s="277"/>
      <c r="AX791" s="277"/>
      <c r="AY791" s="280"/>
      <c r="AZ791" s="268"/>
      <c r="BA791" s="268"/>
      <c r="BB791" s="13"/>
      <c r="BC791" s="36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</row>
    <row r="792" spans="1:73">
      <c r="A792" s="13"/>
      <c r="B792" s="13"/>
      <c r="C792" s="13"/>
      <c r="D792" s="13"/>
      <c r="E792" s="13"/>
      <c r="F792" s="13"/>
      <c r="G792" s="36"/>
      <c r="H792" s="36"/>
      <c r="I792" s="36"/>
      <c r="J792" s="36"/>
      <c r="K792" s="36"/>
      <c r="L792" s="36"/>
      <c r="M792" s="36"/>
      <c r="N792" s="13"/>
      <c r="O792" s="202"/>
      <c r="P792" s="36"/>
      <c r="Q792" s="52"/>
      <c r="R792" s="52"/>
      <c r="S792" s="52"/>
      <c r="U792" s="202"/>
      <c r="V792" s="202"/>
      <c r="W792" s="202"/>
      <c r="X792" s="202"/>
      <c r="Y792" s="13"/>
      <c r="Z792" s="36"/>
      <c r="AA792" s="13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289"/>
      <c r="AO792" s="289"/>
      <c r="AP792" s="289"/>
      <c r="AQ792" s="36"/>
      <c r="AR792" s="283"/>
      <c r="AS792" s="13"/>
      <c r="AT792" s="13"/>
      <c r="AU792" s="32"/>
      <c r="AV792" s="277"/>
      <c r="AW792" s="277"/>
      <c r="AX792" s="277"/>
      <c r="AY792" s="280"/>
      <c r="AZ792" s="268"/>
      <c r="BA792" s="268"/>
      <c r="BB792" s="13"/>
      <c r="BC792" s="36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</row>
    <row r="793" spans="1:73">
      <c r="A793" s="13"/>
      <c r="B793" s="13"/>
      <c r="C793" s="13"/>
      <c r="D793" s="13"/>
      <c r="E793" s="13"/>
      <c r="F793" s="13"/>
      <c r="G793" s="36"/>
      <c r="H793" s="36"/>
      <c r="I793" s="36"/>
      <c r="J793" s="36"/>
      <c r="K793" s="36"/>
      <c r="L793" s="36"/>
      <c r="M793" s="36"/>
      <c r="N793" s="13"/>
      <c r="O793" s="202"/>
      <c r="P793" s="36"/>
      <c r="Q793" s="52"/>
      <c r="R793" s="52"/>
      <c r="S793" s="52"/>
      <c r="U793" s="202"/>
      <c r="V793" s="202"/>
      <c r="W793" s="202"/>
      <c r="X793" s="202"/>
      <c r="Y793" s="13"/>
      <c r="Z793" s="36"/>
      <c r="AA793" s="13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289"/>
      <c r="AO793" s="289"/>
      <c r="AP793" s="289"/>
      <c r="AQ793" s="36"/>
      <c r="AR793" s="283"/>
      <c r="AS793" s="13"/>
      <c r="AT793" s="13"/>
      <c r="AU793" s="32"/>
      <c r="AV793" s="277"/>
      <c r="AW793" s="277"/>
      <c r="AX793" s="277"/>
      <c r="AY793" s="280"/>
      <c r="AZ793" s="268"/>
      <c r="BA793" s="268"/>
      <c r="BB793" s="13"/>
      <c r="BC793" s="36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</row>
    <row r="794" spans="1:73">
      <c r="A794" s="13"/>
      <c r="B794" s="13"/>
      <c r="C794" s="13"/>
      <c r="D794" s="13"/>
      <c r="E794" s="13"/>
      <c r="F794" s="13"/>
      <c r="G794" s="36"/>
      <c r="H794" s="36"/>
      <c r="I794" s="36"/>
      <c r="J794" s="36"/>
      <c r="K794" s="36"/>
      <c r="L794" s="36"/>
      <c r="M794" s="36"/>
      <c r="N794" s="13"/>
      <c r="O794" s="202"/>
      <c r="P794" s="36"/>
      <c r="Q794" s="52"/>
      <c r="R794" s="52"/>
      <c r="S794" s="52"/>
      <c r="U794" s="202"/>
      <c r="V794" s="202"/>
      <c r="W794" s="202"/>
      <c r="X794" s="202"/>
      <c r="Y794" s="13"/>
      <c r="Z794" s="36"/>
      <c r="AA794" s="13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289"/>
      <c r="AO794" s="289"/>
      <c r="AP794" s="289"/>
      <c r="AQ794" s="36"/>
      <c r="AR794" s="283"/>
      <c r="AS794" s="13"/>
      <c r="AT794" s="13"/>
      <c r="AU794" s="32"/>
      <c r="AV794" s="277"/>
      <c r="AW794" s="277"/>
      <c r="AX794" s="277"/>
      <c r="AY794" s="280"/>
      <c r="AZ794" s="268"/>
      <c r="BA794" s="268"/>
      <c r="BB794" s="13"/>
      <c r="BC794" s="36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</row>
    <row r="795" spans="1:73">
      <c r="A795" s="13"/>
      <c r="B795" s="13"/>
      <c r="C795" s="13"/>
      <c r="D795" s="13"/>
      <c r="E795" s="13"/>
      <c r="F795" s="13"/>
      <c r="G795" s="36"/>
      <c r="H795" s="36"/>
      <c r="I795" s="36"/>
      <c r="J795" s="36"/>
      <c r="K795" s="36"/>
      <c r="L795" s="36"/>
      <c r="M795" s="36"/>
      <c r="N795" s="13"/>
      <c r="O795" s="202"/>
      <c r="P795" s="36"/>
      <c r="Q795" s="52"/>
      <c r="R795" s="52"/>
      <c r="S795" s="52"/>
      <c r="U795" s="202"/>
      <c r="V795" s="202"/>
      <c r="W795" s="202"/>
      <c r="X795" s="202"/>
      <c r="Y795" s="13"/>
      <c r="Z795" s="36"/>
      <c r="AA795" s="13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289"/>
      <c r="AO795" s="289"/>
      <c r="AP795" s="289"/>
      <c r="AQ795" s="36"/>
      <c r="AR795" s="283"/>
      <c r="AS795" s="13"/>
      <c r="AT795" s="13"/>
      <c r="AU795" s="32"/>
      <c r="AV795" s="277"/>
      <c r="AW795" s="277"/>
      <c r="AX795" s="277"/>
      <c r="AY795" s="280"/>
      <c r="AZ795" s="268"/>
      <c r="BA795" s="268"/>
      <c r="BB795" s="13"/>
      <c r="BC795" s="36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</row>
    <row r="796" spans="1:73">
      <c r="A796" s="13"/>
      <c r="B796" s="13"/>
      <c r="C796" s="13"/>
      <c r="D796" s="13"/>
      <c r="E796" s="13"/>
      <c r="F796" s="13"/>
      <c r="G796" s="36"/>
      <c r="H796" s="36"/>
      <c r="I796" s="36"/>
      <c r="J796" s="36"/>
      <c r="K796" s="36"/>
      <c r="L796" s="36"/>
      <c r="M796" s="36"/>
      <c r="N796" s="13"/>
      <c r="O796" s="202"/>
      <c r="P796" s="36"/>
      <c r="Q796" s="52"/>
      <c r="R796" s="52"/>
      <c r="S796" s="52"/>
      <c r="U796" s="202"/>
      <c r="V796" s="202"/>
      <c r="W796" s="202"/>
      <c r="X796" s="202"/>
      <c r="Y796" s="13"/>
      <c r="Z796" s="36"/>
      <c r="AA796" s="13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289"/>
      <c r="AO796" s="289"/>
      <c r="AP796" s="289"/>
      <c r="AQ796" s="36"/>
      <c r="AR796" s="283"/>
      <c r="AS796" s="13"/>
      <c r="AT796" s="13"/>
      <c r="AU796" s="32"/>
      <c r="AV796" s="277"/>
      <c r="AW796" s="277"/>
      <c r="AX796" s="277"/>
      <c r="AY796" s="280"/>
      <c r="AZ796" s="268"/>
      <c r="BA796" s="268"/>
      <c r="BB796" s="13"/>
      <c r="BC796" s="36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</row>
    <row r="797" spans="1:73">
      <c r="A797" s="13"/>
      <c r="B797" s="13"/>
      <c r="C797" s="13"/>
      <c r="D797" s="13"/>
      <c r="E797" s="13"/>
      <c r="F797" s="13"/>
      <c r="G797" s="36"/>
      <c r="H797" s="36"/>
      <c r="I797" s="36"/>
      <c r="J797" s="36"/>
      <c r="K797" s="36"/>
      <c r="L797" s="36"/>
      <c r="M797" s="36"/>
      <c r="N797" s="13"/>
      <c r="O797" s="202"/>
      <c r="P797" s="36"/>
      <c r="Q797" s="52"/>
      <c r="R797" s="52"/>
      <c r="S797" s="52"/>
      <c r="U797" s="202"/>
      <c r="V797" s="202"/>
      <c r="W797" s="202"/>
      <c r="X797" s="202"/>
      <c r="Y797" s="13"/>
      <c r="Z797" s="36"/>
      <c r="AA797" s="13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289"/>
      <c r="AO797" s="289"/>
      <c r="AP797" s="289"/>
      <c r="AQ797" s="36"/>
      <c r="AR797" s="283"/>
      <c r="AS797" s="13"/>
      <c r="AT797" s="13"/>
      <c r="AU797" s="32"/>
      <c r="AV797" s="277"/>
      <c r="AW797" s="277"/>
      <c r="AX797" s="277"/>
      <c r="AY797" s="280"/>
      <c r="AZ797" s="268"/>
      <c r="BA797" s="268"/>
      <c r="BB797" s="13"/>
      <c r="BC797" s="36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</row>
    <row r="798" spans="1:73">
      <c r="A798" s="13"/>
      <c r="B798" s="13"/>
      <c r="C798" s="13"/>
      <c r="D798" s="13"/>
      <c r="E798" s="13"/>
      <c r="F798" s="13"/>
      <c r="G798" s="36"/>
      <c r="H798" s="36"/>
      <c r="I798" s="36"/>
      <c r="J798" s="36"/>
      <c r="K798" s="36"/>
      <c r="L798" s="36"/>
      <c r="M798" s="36"/>
      <c r="N798" s="13"/>
      <c r="O798" s="202"/>
      <c r="P798" s="36"/>
      <c r="Q798" s="52"/>
      <c r="R798" s="52"/>
      <c r="S798" s="52"/>
      <c r="U798" s="202"/>
      <c r="V798" s="202"/>
      <c r="W798" s="202"/>
      <c r="X798" s="202"/>
      <c r="Y798" s="13"/>
      <c r="Z798" s="36"/>
      <c r="AA798" s="13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289"/>
      <c r="AO798" s="289"/>
      <c r="AP798" s="289"/>
      <c r="AQ798" s="36"/>
      <c r="AR798" s="283"/>
      <c r="AS798" s="13"/>
      <c r="AT798" s="13"/>
      <c r="AU798" s="32"/>
      <c r="AV798" s="277"/>
      <c r="AW798" s="277"/>
      <c r="AX798" s="277"/>
      <c r="AY798" s="280"/>
      <c r="AZ798" s="268"/>
      <c r="BA798" s="268"/>
      <c r="BB798" s="13"/>
      <c r="BC798" s="36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</row>
    <row r="799" spans="1:73">
      <c r="A799" s="13"/>
      <c r="B799" s="13"/>
      <c r="C799" s="13"/>
      <c r="D799" s="13"/>
      <c r="E799" s="13"/>
      <c r="F799" s="13"/>
      <c r="G799" s="36"/>
      <c r="H799" s="36"/>
      <c r="I799" s="36"/>
      <c r="J799" s="36"/>
      <c r="K799" s="36"/>
      <c r="L799" s="36"/>
      <c r="M799" s="36"/>
      <c r="N799" s="13"/>
      <c r="O799" s="202"/>
      <c r="P799" s="36"/>
      <c r="Q799" s="52"/>
      <c r="R799" s="52"/>
      <c r="S799" s="52"/>
      <c r="U799" s="202"/>
      <c r="V799" s="202"/>
      <c r="W799" s="202"/>
      <c r="X799" s="202"/>
      <c r="Y799" s="13"/>
      <c r="Z799" s="36"/>
      <c r="AA799" s="13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289"/>
      <c r="AO799" s="289"/>
      <c r="AP799" s="289"/>
      <c r="AQ799" s="36"/>
      <c r="AR799" s="283"/>
      <c r="AS799" s="13"/>
      <c r="AT799" s="13"/>
      <c r="AU799" s="32"/>
      <c r="AV799" s="277"/>
      <c r="AW799" s="277"/>
      <c r="AX799" s="277"/>
      <c r="AY799" s="280"/>
      <c r="AZ799" s="268"/>
      <c r="BA799" s="268"/>
      <c r="BB799" s="13"/>
      <c r="BC799" s="36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</row>
    <row r="800" spans="1:73">
      <c r="A800" s="13"/>
      <c r="B800" s="13"/>
      <c r="C800" s="13"/>
      <c r="D800" s="13"/>
      <c r="E800" s="13"/>
      <c r="F800" s="13"/>
      <c r="G800" s="36"/>
      <c r="H800" s="36"/>
      <c r="I800" s="36"/>
      <c r="J800" s="36"/>
      <c r="K800" s="36"/>
      <c r="L800" s="36"/>
      <c r="M800" s="36"/>
      <c r="N800" s="13"/>
      <c r="O800" s="202"/>
      <c r="P800" s="36"/>
      <c r="Q800" s="52"/>
      <c r="R800" s="52"/>
      <c r="S800" s="52"/>
      <c r="U800" s="202"/>
      <c r="V800" s="202"/>
      <c r="W800" s="202"/>
      <c r="X800" s="202"/>
      <c r="Y800" s="13"/>
      <c r="Z800" s="36"/>
      <c r="AA800" s="13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289"/>
      <c r="AO800" s="289"/>
      <c r="AP800" s="289"/>
      <c r="AQ800" s="36"/>
      <c r="AR800" s="283"/>
      <c r="AS800" s="13"/>
      <c r="AT800" s="13"/>
      <c r="AU800" s="32"/>
      <c r="AV800" s="277"/>
      <c r="AW800" s="277"/>
      <c r="AX800" s="277"/>
      <c r="AY800" s="280"/>
      <c r="AZ800" s="268"/>
      <c r="BA800" s="268"/>
      <c r="BB800" s="13"/>
      <c r="BC800" s="36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</row>
    <row r="801" spans="1:73">
      <c r="A801" s="13"/>
      <c r="B801" s="13"/>
      <c r="C801" s="13"/>
      <c r="D801" s="13"/>
      <c r="E801" s="13"/>
      <c r="F801" s="13"/>
      <c r="G801" s="36"/>
      <c r="H801" s="36"/>
      <c r="I801" s="36"/>
      <c r="J801" s="36"/>
      <c r="K801" s="36"/>
      <c r="L801" s="36"/>
      <c r="M801" s="36"/>
      <c r="N801" s="13"/>
      <c r="O801" s="202"/>
      <c r="P801" s="36"/>
      <c r="Q801" s="52"/>
      <c r="R801" s="52"/>
      <c r="S801" s="52"/>
      <c r="U801" s="202"/>
      <c r="V801" s="202"/>
      <c r="W801" s="202"/>
      <c r="X801" s="202"/>
      <c r="Y801" s="13"/>
      <c r="Z801" s="36"/>
      <c r="AA801" s="13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289"/>
      <c r="AO801" s="289"/>
      <c r="AP801" s="289"/>
      <c r="AQ801" s="36"/>
      <c r="AR801" s="283"/>
      <c r="AS801" s="13"/>
      <c r="AT801" s="13"/>
      <c r="AU801" s="32"/>
      <c r="AV801" s="277"/>
      <c r="AW801" s="277"/>
      <c r="AX801" s="277"/>
      <c r="AY801" s="280"/>
      <c r="AZ801" s="268"/>
      <c r="BA801" s="268"/>
      <c r="BB801" s="13"/>
      <c r="BC801" s="36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</row>
    <row r="802" spans="1:73">
      <c r="A802" s="13"/>
      <c r="B802" s="13"/>
      <c r="C802" s="13"/>
      <c r="D802" s="13"/>
      <c r="E802" s="13"/>
      <c r="F802" s="13"/>
      <c r="G802" s="36"/>
      <c r="H802" s="36"/>
      <c r="I802" s="36"/>
      <c r="J802" s="36"/>
      <c r="K802" s="36"/>
      <c r="L802" s="36"/>
      <c r="M802" s="36"/>
      <c r="N802" s="13"/>
      <c r="O802" s="202"/>
      <c r="P802" s="36"/>
      <c r="Q802" s="52"/>
      <c r="R802" s="52"/>
      <c r="S802" s="52"/>
      <c r="U802" s="202"/>
      <c r="V802" s="202"/>
      <c r="W802" s="202"/>
      <c r="X802" s="202"/>
      <c r="Y802" s="13"/>
      <c r="Z802" s="36"/>
      <c r="AA802" s="13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289"/>
      <c r="AO802" s="289"/>
      <c r="AP802" s="289"/>
      <c r="AQ802" s="36"/>
      <c r="AR802" s="283"/>
      <c r="AS802" s="13"/>
      <c r="AT802" s="13"/>
      <c r="AU802" s="32"/>
      <c r="AV802" s="277"/>
      <c r="AW802" s="277"/>
      <c r="AX802" s="277"/>
      <c r="AY802" s="280"/>
      <c r="AZ802" s="268"/>
      <c r="BA802" s="268"/>
      <c r="BB802" s="13"/>
      <c r="BC802" s="36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</row>
    <row r="803" spans="1:73">
      <c r="A803" s="13"/>
      <c r="B803" s="13"/>
      <c r="C803" s="13"/>
      <c r="D803" s="13"/>
      <c r="E803" s="13"/>
      <c r="F803" s="13"/>
      <c r="G803" s="36"/>
      <c r="H803" s="36"/>
      <c r="I803" s="36"/>
      <c r="J803" s="36"/>
      <c r="K803" s="36"/>
      <c r="L803" s="36"/>
      <c r="M803" s="36"/>
      <c r="N803" s="13"/>
      <c r="O803" s="202"/>
      <c r="P803" s="36"/>
      <c r="Q803" s="52"/>
      <c r="R803" s="52"/>
      <c r="S803" s="52"/>
      <c r="U803" s="202"/>
      <c r="V803" s="202"/>
      <c r="W803" s="202"/>
      <c r="X803" s="202"/>
      <c r="Y803" s="13"/>
      <c r="Z803" s="36"/>
      <c r="AA803" s="13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289"/>
      <c r="AO803" s="289"/>
      <c r="AP803" s="289"/>
      <c r="AQ803" s="36"/>
      <c r="AR803" s="283"/>
      <c r="AS803" s="13"/>
      <c r="AT803" s="13"/>
      <c r="AU803" s="32"/>
      <c r="AV803" s="277"/>
      <c r="AW803" s="277"/>
      <c r="AX803" s="277"/>
      <c r="AY803" s="280"/>
      <c r="AZ803" s="268"/>
      <c r="BA803" s="268"/>
      <c r="BB803" s="13"/>
      <c r="BC803" s="36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</row>
    <row r="804" spans="1:73">
      <c r="A804" s="13"/>
      <c r="B804" s="13"/>
      <c r="C804" s="13"/>
      <c r="D804" s="13"/>
      <c r="E804" s="13"/>
      <c r="F804" s="13"/>
      <c r="G804" s="36"/>
      <c r="H804" s="36"/>
      <c r="I804" s="36"/>
      <c r="J804" s="36"/>
      <c r="K804" s="36"/>
      <c r="L804" s="36"/>
      <c r="M804" s="36"/>
      <c r="N804" s="13"/>
      <c r="O804" s="202"/>
      <c r="P804" s="36"/>
      <c r="Q804" s="52"/>
      <c r="R804" s="52"/>
      <c r="S804" s="52"/>
      <c r="U804" s="202"/>
      <c r="V804" s="202"/>
      <c r="W804" s="202"/>
      <c r="X804" s="202"/>
      <c r="Y804" s="13"/>
      <c r="Z804" s="36"/>
      <c r="AA804" s="13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289"/>
      <c r="AO804" s="289"/>
      <c r="AP804" s="289"/>
      <c r="AQ804" s="36"/>
      <c r="AR804" s="283"/>
      <c r="AS804" s="13"/>
      <c r="AT804" s="13"/>
      <c r="AU804" s="32"/>
      <c r="AV804" s="277"/>
      <c r="AW804" s="277"/>
      <c r="AX804" s="277"/>
      <c r="AY804" s="280"/>
      <c r="AZ804" s="268"/>
      <c r="BA804" s="268"/>
      <c r="BB804" s="13"/>
      <c r="BC804" s="36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</row>
    <row r="805" spans="1:73">
      <c r="A805" s="13"/>
      <c r="B805" s="13"/>
      <c r="C805" s="13"/>
      <c r="D805" s="13"/>
      <c r="E805" s="13"/>
      <c r="F805" s="13"/>
      <c r="G805" s="36"/>
      <c r="H805" s="36"/>
      <c r="I805" s="36"/>
      <c r="J805" s="36"/>
      <c r="K805" s="36"/>
      <c r="L805" s="36"/>
      <c r="M805" s="36"/>
      <c r="N805" s="13"/>
      <c r="O805" s="202"/>
      <c r="P805" s="36"/>
      <c r="Q805" s="52"/>
      <c r="R805" s="52"/>
      <c r="S805" s="52"/>
      <c r="U805" s="202"/>
      <c r="V805" s="202"/>
      <c r="W805" s="202"/>
      <c r="X805" s="202"/>
      <c r="Y805" s="13"/>
      <c r="Z805" s="36"/>
      <c r="AA805" s="13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289"/>
      <c r="AO805" s="289"/>
      <c r="AP805" s="289"/>
      <c r="AQ805" s="36"/>
      <c r="AR805" s="283"/>
      <c r="AS805" s="13"/>
      <c r="AT805" s="13"/>
      <c r="AU805" s="32"/>
      <c r="AV805" s="277"/>
      <c r="AW805" s="277"/>
      <c r="AX805" s="277"/>
      <c r="AY805" s="280"/>
      <c r="AZ805" s="268"/>
      <c r="BA805" s="268"/>
      <c r="BB805" s="13"/>
      <c r="BC805" s="36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</row>
    <row r="806" spans="1:73">
      <c r="A806" s="13"/>
      <c r="B806" s="13"/>
      <c r="C806" s="13"/>
      <c r="D806" s="13"/>
      <c r="E806" s="13"/>
      <c r="F806" s="13"/>
      <c r="G806" s="36"/>
      <c r="H806" s="36"/>
      <c r="I806" s="36"/>
      <c r="J806" s="36"/>
      <c r="K806" s="36"/>
      <c r="L806" s="36"/>
      <c r="M806" s="36"/>
      <c r="N806" s="13"/>
      <c r="O806" s="202"/>
      <c r="P806" s="36"/>
      <c r="Q806" s="52"/>
      <c r="R806" s="52"/>
      <c r="S806" s="52"/>
      <c r="U806" s="202"/>
      <c r="V806" s="202"/>
      <c r="W806" s="202"/>
      <c r="X806" s="202"/>
      <c r="Y806" s="13"/>
      <c r="Z806" s="36"/>
      <c r="AA806" s="13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289"/>
      <c r="AO806" s="289"/>
      <c r="AP806" s="289"/>
      <c r="AQ806" s="36"/>
      <c r="AR806" s="283"/>
      <c r="AS806" s="13"/>
      <c r="AT806" s="13"/>
      <c r="AU806" s="32"/>
      <c r="AV806" s="277"/>
      <c r="AW806" s="277"/>
      <c r="AX806" s="277"/>
      <c r="AY806" s="280"/>
      <c r="AZ806" s="268"/>
      <c r="BA806" s="268"/>
      <c r="BB806" s="13"/>
      <c r="BC806" s="36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</row>
    <row r="807" spans="1:73">
      <c r="A807" s="13"/>
      <c r="B807" s="13"/>
      <c r="C807" s="13"/>
      <c r="D807" s="13"/>
      <c r="E807" s="13"/>
      <c r="F807" s="13"/>
      <c r="G807" s="36"/>
      <c r="H807" s="36"/>
      <c r="I807" s="36"/>
      <c r="J807" s="36"/>
      <c r="K807" s="36"/>
      <c r="L807" s="36"/>
      <c r="M807" s="36"/>
      <c r="N807" s="13"/>
      <c r="O807" s="202"/>
      <c r="P807" s="36"/>
      <c r="Q807" s="52"/>
      <c r="R807" s="52"/>
      <c r="S807" s="52"/>
      <c r="U807" s="202"/>
      <c r="V807" s="202"/>
      <c r="W807" s="202"/>
      <c r="X807" s="202"/>
      <c r="Y807" s="13"/>
      <c r="Z807" s="36"/>
      <c r="AA807" s="13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289"/>
      <c r="AO807" s="289"/>
      <c r="AP807" s="289"/>
      <c r="AQ807" s="36"/>
      <c r="AR807" s="283"/>
      <c r="AS807" s="13"/>
      <c r="AT807" s="13"/>
      <c r="AU807" s="32"/>
      <c r="AV807" s="277"/>
      <c r="AW807" s="277"/>
      <c r="AX807" s="277"/>
      <c r="AY807" s="280"/>
      <c r="AZ807" s="268"/>
      <c r="BA807" s="268"/>
      <c r="BB807" s="13"/>
      <c r="BC807" s="36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</row>
    <row r="808" spans="1:73">
      <c r="A808" s="13"/>
      <c r="B808" s="13"/>
      <c r="C808" s="13"/>
      <c r="D808" s="13"/>
      <c r="E808" s="13"/>
      <c r="F808" s="13"/>
      <c r="G808" s="36"/>
      <c r="H808" s="36"/>
      <c r="I808" s="36"/>
      <c r="J808" s="36"/>
      <c r="K808" s="36"/>
      <c r="L808" s="36"/>
      <c r="M808" s="36"/>
      <c r="N808" s="13"/>
      <c r="O808" s="202"/>
      <c r="P808" s="36"/>
      <c r="Q808" s="52"/>
      <c r="R808" s="52"/>
      <c r="S808" s="52"/>
      <c r="U808" s="202"/>
      <c r="V808" s="202"/>
      <c r="W808" s="202"/>
      <c r="X808" s="202"/>
      <c r="Y808" s="13"/>
      <c r="Z808" s="36"/>
      <c r="AA808" s="13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289"/>
      <c r="AO808" s="289"/>
      <c r="AP808" s="289"/>
      <c r="AQ808" s="36"/>
      <c r="AR808" s="283"/>
      <c r="AS808" s="13"/>
      <c r="AT808" s="13"/>
      <c r="AU808" s="32"/>
      <c r="AV808" s="277"/>
      <c r="AW808" s="277"/>
      <c r="AX808" s="277"/>
      <c r="AY808" s="280"/>
      <c r="AZ808" s="268"/>
      <c r="BA808" s="268"/>
      <c r="BB808" s="13"/>
      <c r="BC808" s="36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</row>
    <row r="809" spans="1:73">
      <c r="A809" s="13"/>
      <c r="B809" s="13"/>
      <c r="C809" s="13"/>
      <c r="D809" s="13"/>
      <c r="E809" s="13"/>
      <c r="F809" s="13"/>
      <c r="G809" s="36"/>
      <c r="H809" s="36"/>
      <c r="I809" s="36"/>
      <c r="J809" s="36"/>
      <c r="K809" s="36"/>
      <c r="L809" s="36"/>
      <c r="M809" s="36"/>
      <c r="N809" s="13"/>
      <c r="O809" s="202"/>
      <c r="P809" s="36"/>
      <c r="Q809" s="52"/>
      <c r="R809" s="52"/>
      <c r="S809" s="52"/>
      <c r="U809" s="202"/>
      <c r="V809" s="202"/>
      <c r="W809" s="202"/>
      <c r="X809" s="202"/>
      <c r="Y809" s="13"/>
      <c r="Z809" s="36"/>
      <c r="AA809" s="13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289"/>
      <c r="AO809" s="289"/>
      <c r="AP809" s="289"/>
      <c r="AQ809" s="36"/>
      <c r="AR809" s="283"/>
      <c r="AS809" s="13"/>
      <c r="AT809" s="13"/>
      <c r="AU809" s="32"/>
      <c r="AV809" s="277"/>
      <c r="AW809" s="277"/>
      <c r="AX809" s="277"/>
      <c r="AY809" s="280"/>
      <c r="AZ809" s="268"/>
      <c r="BA809" s="268"/>
      <c r="BB809" s="13"/>
      <c r="BC809" s="36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</row>
    <row r="810" spans="1:73">
      <c r="A810" s="13"/>
      <c r="B810" s="13"/>
      <c r="C810" s="13"/>
      <c r="D810" s="13"/>
      <c r="E810" s="13"/>
      <c r="F810" s="13"/>
      <c r="G810" s="36"/>
      <c r="H810" s="36"/>
      <c r="I810" s="36"/>
      <c r="J810" s="36"/>
      <c r="K810" s="36"/>
      <c r="L810" s="36"/>
      <c r="M810" s="36"/>
      <c r="N810" s="13"/>
      <c r="O810" s="202"/>
      <c r="P810" s="36"/>
      <c r="Q810" s="52"/>
      <c r="R810" s="52"/>
      <c r="S810" s="52"/>
      <c r="U810" s="202"/>
      <c r="V810" s="202"/>
      <c r="W810" s="202"/>
      <c r="X810" s="202"/>
      <c r="Y810" s="13"/>
      <c r="Z810" s="36"/>
      <c r="AA810" s="13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289"/>
      <c r="AO810" s="289"/>
      <c r="AP810" s="289"/>
      <c r="AQ810" s="36"/>
      <c r="AR810" s="283"/>
      <c r="AS810" s="13"/>
      <c r="AT810" s="13"/>
      <c r="AU810" s="32"/>
      <c r="AV810" s="277"/>
      <c r="AW810" s="277"/>
      <c r="AX810" s="277"/>
      <c r="AY810" s="280"/>
      <c r="AZ810" s="268"/>
      <c r="BA810" s="268"/>
      <c r="BB810" s="13"/>
      <c r="BC810" s="36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</row>
    <row r="811" spans="1:73">
      <c r="A811" s="13"/>
      <c r="B811" s="13"/>
      <c r="C811" s="13"/>
      <c r="D811" s="13"/>
      <c r="E811" s="13"/>
      <c r="F811" s="13"/>
      <c r="G811" s="36"/>
      <c r="H811" s="36"/>
      <c r="I811" s="36"/>
      <c r="J811" s="36"/>
      <c r="K811" s="36"/>
      <c r="L811" s="36"/>
      <c r="M811" s="36"/>
      <c r="N811" s="13"/>
      <c r="O811" s="202"/>
      <c r="P811" s="36"/>
      <c r="Q811" s="52"/>
      <c r="R811" s="52"/>
      <c r="S811" s="52"/>
      <c r="U811" s="202"/>
      <c r="V811" s="202"/>
      <c r="W811" s="202"/>
      <c r="X811" s="202"/>
      <c r="Y811" s="13"/>
      <c r="Z811" s="36"/>
      <c r="AA811" s="13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289"/>
      <c r="AO811" s="289"/>
      <c r="AP811" s="289"/>
      <c r="AQ811" s="36"/>
      <c r="AR811" s="283"/>
      <c r="AS811" s="13"/>
      <c r="AT811" s="13"/>
      <c r="AU811" s="32"/>
      <c r="AV811" s="277"/>
      <c r="AW811" s="277"/>
      <c r="AX811" s="277"/>
      <c r="AY811" s="280"/>
      <c r="AZ811" s="268"/>
      <c r="BA811" s="268"/>
      <c r="BB811" s="13"/>
      <c r="BC811" s="36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</row>
    <row r="812" spans="1:73">
      <c r="A812" s="13"/>
      <c r="B812" s="13"/>
      <c r="C812" s="13"/>
      <c r="D812" s="13"/>
      <c r="E812" s="13"/>
      <c r="F812" s="13"/>
      <c r="G812" s="36"/>
      <c r="H812" s="36"/>
      <c r="I812" s="36"/>
      <c r="J812" s="36"/>
      <c r="K812" s="36"/>
      <c r="L812" s="36"/>
      <c r="M812" s="36"/>
      <c r="N812" s="13"/>
      <c r="O812" s="202"/>
      <c r="P812" s="36"/>
      <c r="Q812" s="52"/>
      <c r="R812" s="52"/>
      <c r="S812" s="52"/>
      <c r="U812" s="202"/>
      <c r="V812" s="202"/>
      <c r="W812" s="202"/>
      <c r="X812" s="202"/>
      <c r="Y812" s="13"/>
      <c r="Z812" s="36"/>
      <c r="AA812" s="13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289"/>
      <c r="AO812" s="289"/>
      <c r="AP812" s="289"/>
      <c r="AQ812" s="36"/>
      <c r="AR812" s="283"/>
      <c r="AS812" s="13"/>
      <c r="AT812" s="13"/>
      <c r="AU812" s="32"/>
      <c r="AV812" s="277"/>
      <c r="AW812" s="277"/>
      <c r="AX812" s="277"/>
      <c r="AY812" s="280"/>
      <c r="AZ812" s="268"/>
      <c r="BA812" s="268"/>
      <c r="BB812" s="13"/>
      <c r="BC812" s="36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</row>
    <row r="813" spans="1:73">
      <c r="A813" s="13"/>
      <c r="B813" s="13"/>
      <c r="C813" s="13"/>
      <c r="D813" s="13"/>
      <c r="E813" s="13"/>
      <c r="F813" s="13"/>
      <c r="G813" s="36"/>
      <c r="H813" s="36"/>
      <c r="I813" s="36"/>
      <c r="J813" s="36"/>
      <c r="K813" s="36"/>
      <c r="L813" s="36"/>
      <c r="M813" s="36"/>
      <c r="N813" s="13"/>
      <c r="O813" s="202"/>
      <c r="P813" s="36"/>
      <c r="Q813" s="52"/>
      <c r="R813" s="52"/>
      <c r="S813" s="52"/>
      <c r="U813" s="202"/>
      <c r="V813" s="202"/>
      <c r="W813" s="202"/>
      <c r="X813" s="202"/>
      <c r="Y813" s="13"/>
      <c r="Z813" s="36"/>
      <c r="AA813" s="13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289"/>
      <c r="AO813" s="289"/>
      <c r="AP813" s="289"/>
      <c r="AQ813" s="36"/>
      <c r="AR813" s="283"/>
      <c r="AS813" s="13"/>
      <c r="AT813" s="13"/>
      <c r="AU813" s="32"/>
      <c r="AV813" s="277"/>
      <c r="AW813" s="277"/>
      <c r="AX813" s="277"/>
      <c r="AY813" s="280"/>
      <c r="AZ813" s="268"/>
      <c r="BA813" s="268"/>
      <c r="BB813" s="13"/>
      <c r="BC813" s="36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</row>
    <row r="814" spans="1:73">
      <c r="A814" s="13"/>
      <c r="B814" s="13"/>
      <c r="C814" s="13"/>
      <c r="D814" s="13"/>
      <c r="E814" s="13"/>
      <c r="F814" s="13"/>
      <c r="G814" s="36"/>
      <c r="H814" s="36"/>
      <c r="I814" s="36"/>
      <c r="J814" s="36"/>
      <c r="K814" s="36"/>
      <c r="L814" s="36"/>
      <c r="M814" s="36"/>
      <c r="N814" s="13"/>
      <c r="O814" s="202"/>
      <c r="P814" s="36"/>
      <c r="Q814" s="52"/>
      <c r="R814" s="52"/>
      <c r="S814" s="52"/>
      <c r="U814" s="202"/>
      <c r="V814" s="202"/>
      <c r="W814" s="202"/>
      <c r="X814" s="202"/>
      <c r="Y814" s="13"/>
      <c r="Z814" s="36"/>
      <c r="AA814" s="13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289"/>
      <c r="AO814" s="289"/>
      <c r="AP814" s="289"/>
      <c r="AQ814" s="36"/>
      <c r="AR814" s="283"/>
      <c r="AS814" s="13"/>
      <c r="AT814" s="13"/>
      <c r="AU814" s="32"/>
      <c r="AV814" s="277"/>
      <c r="AW814" s="277"/>
      <c r="AX814" s="277"/>
      <c r="AY814" s="280"/>
      <c r="AZ814" s="268"/>
      <c r="BA814" s="268"/>
      <c r="BB814" s="13"/>
      <c r="BC814" s="36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</row>
    <row r="815" spans="1:73">
      <c r="A815" s="13"/>
      <c r="B815" s="13"/>
      <c r="C815" s="13"/>
      <c r="D815" s="13"/>
      <c r="E815" s="13"/>
      <c r="F815" s="13"/>
      <c r="G815" s="36"/>
      <c r="H815" s="36"/>
      <c r="I815" s="36"/>
      <c r="J815" s="36"/>
      <c r="K815" s="36"/>
      <c r="L815" s="36"/>
      <c r="M815" s="36"/>
      <c r="N815" s="13"/>
      <c r="O815" s="202"/>
      <c r="P815" s="36"/>
      <c r="Q815" s="52"/>
      <c r="R815" s="52"/>
      <c r="S815" s="52"/>
      <c r="U815" s="202"/>
      <c r="V815" s="202"/>
      <c r="W815" s="202"/>
      <c r="X815" s="202"/>
      <c r="Y815" s="13"/>
      <c r="Z815" s="36"/>
      <c r="AA815" s="13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289"/>
      <c r="AO815" s="289"/>
      <c r="AP815" s="289"/>
      <c r="AQ815" s="36"/>
      <c r="AR815" s="283"/>
      <c r="AS815" s="13"/>
      <c r="AT815" s="13"/>
      <c r="AU815" s="32"/>
      <c r="AV815" s="277"/>
      <c r="AW815" s="277"/>
      <c r="AX815" s="277"/>
      <c r="AY815" s="280"/>
      <c r="AZ815" s="268"/>
      <c r="BA815" s="268"/>
      <c r="BB815" s="13"/>
      <c r="BC815" s="36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</row>
    <row r="816" spans="1:73">
      <c r="A816" s="13"/>
      <c r="B816" s="13"/>
      <c r="C816" s="13"/>
      <c r="D816" s="13"/>
      <c r="E816" s="13"/>
      <c r="F816" s="13"/>
      <c r="G816" s="36"/>
      <c r="H816" s="36"/>
      <c r="I816" s="36"/>
      <c r="J816" s="36"/>
      <c r="K816" s="36"/>
      <c r="L816" s="36"/>
      <c r="M816" s="36"/>
      <c r="N816" s="13"/>
      <c r="O816" s="202"/>
      <c r="P816" s="36"/>
      <c r="Q816" s="52"/>
      <c r="R816" s="52"/>
      <c r="S816" s="52"/>
      <c r="U816" s="202"/>
      <c r="V816" s="202"/>
      <c r="W816" s="202"/>
      <c r="X816" s="202"/>
      <c r="Y816" s="13"/>
      <c r="Z816" s="36"/>
      <c r="AA816" s="13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289"/>
      <c r="AO816" s="289"/>
      <c r="AP816" s="289"/>
      <c r="AQ816" s="36"/>
      <c r="AR816" s="283"/>
      <c r="AS816" s="13"/>
      <c r="AT816" s="13"/>
      <c r="AU816" s="32"/>
      <c r="AV816" s="277"/>
      <c r="AW816" s="277"/>
      <c r="AX816" s="277"/>
      <c r="AY816" s="280"/>
      <c r="AZ816" s="268"/>
      <c r="BA816" s="268"/>
      <c r="BB816" s="13"/>
      <c r="BC816" s="36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</row>
    <row r="817" spans="1:73">
      <c r="A817" s="13"/>
      <c r="B817" s="13"/>
      <c r="C817" s="13"/>
      <c r="D817" s="13"/>
      <c r="E817" s="13"/>
      <c r="F817" s="13"/>
      <c r="G817" s="36"/>
      <c r="H817" s="36"/>
      <c r="I817" s="36"/>
      <c r="J817" s="36"/>
      <c r="K817" s="36"/>
      <c r="L817" s="36"/>
      <c r="M817" s="36"/>
      <c r="N817" s="13"/>
      <c r="O817" s="202"/>
      <c r="P817" s="36"/>
      <c r="Q817" s="52"/>
      <c r="R817" s="52"/>
      <c r="S817" s="52"/>
      <c r="U817" s="202"/>
      <c r="V817" s="202"/>
      <c r="W817" s="202"/>
      <c r="X817" s="202"/>
      <c r="Y817" s="13"/>
      <c r="Z817" s="36"/>
      <c r="AA817" s="13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289"/>
      <c r="AO817" s="289"/>
      <c r="AP817" s="289"/>
      <c r="AQ817" s="36"/>
      <c r="AR817" s="283"/>
      <c r="AS817" s="13"/>
      <c r="AT817" s="13"/>
      <c r="AU817" s="32"/>
      <c r="AV817" s="277"/>
      <c r="AW817" s="277"/>
      <c r="AX817" s="277"/>
      <c r="AY817" s="280"/>
      <c r="AZ817" s="268"/>
      <c r="BA817" s="268"/>
      <c r="BB817" s="13"/>
      <c r="BC817" s="36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</row>
    <row r="818" spans="1:73">
      <c r="A818" s="13"/>
      <c r="B818" s="13"/>
      <c r="C818" s="13"/>
      <c r="D818" s="13"/>
      <c r="E818" s="13"/>
      <c r="F818" s="13"/>
      <c r="G818" s="36"/>
      <c r="H818" s="36"/>
      <c r="I818" s="36"/>
      <c r="J818" s="36"/>
      <c r="K818" s="36"/>
      <c r="L818" s="36"/>
      <c r="M818" s="36"/>
      <c r="N818" s="13"/>
      <c r="O818" s="202"/>
      <c r="P818" s="36"/>
      <c r="Q818" s="52"/>
      <c r="R818" s="52"/>
      <c r="S818" s="52"/>
      <c r="U818" s="202"/>
      <c r="V818" s="202"/>
      <c r="W818" s="202"/>
      <c r="X818" s="202"/>
      <c r="Y818" s="13"/>
      <c r="Z818" s="36"/>
      <c r="AA818" s="13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289"/>
      <c r="AO818" s="289"/>
      <c r="AP818" s="289"/>
      <c r="AQ818" s="36"/>
      <c r="AR818" s="283"/>
      <c r="AS818" s="13"/>
      <c r="AT818" s="13"/>
      <c r="AU818" s="32"/>
      <c r="AV818" s="277"/>
      <c r="AW818" s="277"/>
      <c r="AX818" s="277"/>
      <c r="AY818" s="280"/>
      <c r="AZ818" s="268"/>
      <c r="BA818" s="268"/>
      <c r="BB818" s="13"/>
      <c r="BC818" s="36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</row>
    <row r="819" spans="1:73">
      <c r="A819" s="13"/>
      <c r="B819" s="13"/>
      <c r="C819" s="13"/>
      <c r="D819" s="13"/>
      <c r="E819" s="13"/>
      <c r="F819" s="13"/>
      <c r="G819" s="36"/>
      <c r="H819" s="36"/>
      <c r="I819" s="36"/>
      <c r="J819" s="36"/>
      <c r="K819" s="36"/>
      <c r="L819" s="36"/>
      <c r="M819" s="36"/>
      <c r="N819" s="13"/>
      <c r="O819" s="202"/>
      <c r="P819" s="36"/>
      <c r="Q819" s="52"/>
      <c r="R819" s="52"/>
      <c r="S819" s="52"/>
      <c r="U819" s="202"/>
      <c r="V819" s="202"/>
      <c r="W819" s="202"/>
      <c r="X819" s="202"/>
      <c r="Y819" s="13"/>
      <c r="Z819" s="36"/>
      <c r="AA819" s="13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289"/>
      <c r="AO819" s="289"/>
      <c r="AP819" s="289"/>
      <c r="AQ819" s="36"/>
      <c r="AR819" s="283"/>
      <c r="AS819" s="13"/>
      <c r="AT819" s="13"/>
      <c r="AU819" s="32"/>
      <c r="AV819" s="277"/>
      <c r="AW819" s="277"/>
      <c r="AX819" s="277"/>
      <c r="AY819" s="280"/>
      <c r="AZ819" s="268"/>
      <c r="BA819" s="268"/>
      <c r="BB819" s="13"/>
      <c r="BC819" s="36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</row>
    <row r="820" spans="1:73">
      <c r="A820" s="13"/>
      <c r="B820" s="13"/>
      <c r="C820" s="13"/>
      <c r="D820" s="13"/>
      <c r="E820" s="13"/>
      <c r="F820" s="13"/>
      <c r="G820" s="36"/>
      <c r="H820" s="36"/>
      <c r="I820" s="36"/>
      <c r="J820" s="36"/>
      <c r="K820" s="36"/>
      <c r="L820" s="36"/>
      <c r="M820" s="36"/>
      <c r="N820" s="13"/>
      <c r="O820" s="202"/>
      <c r="P820" s="36"/>
      <c r="Q820" s="52"/>
      <c r="R820" s="52"/>
      <c r="S820" s="52"/>
      <c r="U820" s="202"/>
      <c r="V820" s="202"/>
      <c r="W820" s="202"/>
      <c r="X820" s="202"/>
      <c r="Y820" s="13"/>
      <c r="Z820" s="36"/>
      <c r="AA820" s="13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289"/>
      <c r="AO820" s="289"/>
      <c r="AP820" s="289"/>
      <c r="AQ820" s="36"/>
      <c r="AR820" s="283"/>
      <c r="AS820" s="13"/>
      <c r="AT820" s="13"/>
      <c r="AU820" s="32"/>
      <c r="AV820" s="277"/>
      <c r="AW820" s="277"/>
      <c r="AX820" s="277"/>
      <c r="AY820" s="280"/>
      <c r="AZ820" s="268"/>
      <c r="BA820" s="268"/>
      <c r="BB820" s="13"/>
      <c r="BC820" s="36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</row>
    <row r="821" spans="1:73">
      <c r="A821" s="13"/>
      <c r="B821" s="13"/>
      <c r="C821" s="13"/>
      <c r="D821" s="13"/>
      <c r="E821" s="13"/>
      <c r="F821" s="13"/>
      <c r="G821" s="36"/>
      <c r="H821" s="36"/>
      <c r="I821" s="36"/>
      <c r="J821" s="36"/>
      <c r="K821" s="36"/>
      <c r="L821" s="36"/>
      <c r="M821" s="36"/>
      <c r="N821" s="13"/>
      <c r="O821" s="202"/>
      <c r="P821" s="36"/>
      <c r="Q821" s="52"/>
      <c r="R821" s="52"/>
      <c r="S821" s="52"/>
      <c r="U821" s="202"/>
      <c r="V821" s="202"/>
      <c r="W821" s="202"/>
      <c r="X821" s="202"/>
      <c r="Y821" s="13"/>
      <c r="Z821" s="36"/>
      <c r="AA821" s="13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289"/>
      <c r="AO821" s="289"/>
      <c r="AP821" s="289"/>
      <c r="AQ821" s="36"/>
      <c r="AR821" s="283"/>
      <c r="AS821" s="13"/>
      <c r="AT821" s="13"/>
      <c r="AU821" s="32"/>
      <c r="AV821" s="277"/>
      <c r="AW821" s="277"/>
      <c r="AX821" s="277"/>
      <c r="AY821" s="280"/>
      <c r="AZ821" s="268"/>
      <c r="BA821" s="268"/>
      <c r="BB821" s="13"/>
      <c r="BC821" s="36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</row>
    <row r="822" spans="1:73">
      <c r="A822" s="13"/>
      <c r="B822" s="13"/>
      <c r="C822" s="13"/>
      <c r="D822" s="13"/>
      <c r="E822" s="13"/>
      <c r="F822" s="13"/>
      <c r="G822" s="36"/>
      <c r="H822" s="36"/>
      <c r="I822" s="36"/>
      <c r="J822" s="36"/>
      <c r="K822" s="36"/>
      <c r="L822" s="36"/>
      <c r="M822" s="36"/>
      <c r="N822" s="13"/>
      <c r="O822" s="202"/>
      <c r="P822" s="36"/>
      <c r="Q822" s="52"/>
      <c r="R822" s="52"/>
      <c r="S822" s="52"/>
      <c r="U822" s="202"/>
      <c r="V822" s="202"/>
      <c r="W822" s="202"/>
      <c r="X822" s="202"/>
      <c r="Y822" s="13"/>
      <c r="Z822" s="36"/>
      <c r="AA822" s="13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289"/>
      <c r="AO822" s="289"/>
      <c r="AP822" s="289"/>
      <c r="AQ822" s="36"/>
      <c r="AR822" s="283"/>
      <c r="AS822" s="13"/>
      <c r="AT822" s="13"/>
      <c r="AU822" s="32"/>
      <c r="AV822" s="277"/>
      <c r="AW822" s="277"/>
      <c r="AX822" s="277"/>
      <c r="AY822" s="280"/>
      <c r="AZ822" s="268"/>
      <c r="BA822" s="268"/>
      <c r="BB822" s="13"/>
      <c r="BC822" s="36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</row>
    <row r="823" spans="1:73">
      <c r="A823" s="13"/>
      <c r="B823" s="13"/>
      <c r="C823" s="13"/>
      <c r="D823" s="13"/>
      <c r="E823" s="13"/>
      <c r="F823" s="13"/>
      <c r="G823" s="36"/>
      <c r="H823" s="36"/>
      <c r="I823" s="36"/>
      <c r="J823" s="36"/>
      <c r="K823" s="36"/>
      <c r="L823" s="36"/>
      <c r="M823" s="36"/>
      <c r="N823" s="13"/>
      <c r="O823" s="202"/>
      <c r="P823" s="36"/>
      <c r="Q823" s="52"/>
      <c r="R823" s="52"/>
      <c r="S823" s="52"/>
      <c r="U823" s="202"/>
      <c r="V823" s="202"/>
      <c r="W823" s="202"/>
      <c r="X823" s="202"/>
      <c r="Y823" s="13"/>
      <c r="Z823" s="36"/>
      <c r="AA823" s="13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289"/>
      <c r="AO823" s="289"/>
      <c r="AP823" s="289"/>
      <c r="AQ823" s="36"/>
      <c r="AR823" s="283"/>
      <c r="AS823" s="13"/>
      <c r="AT823" s="13"/>
      <c r="AU823" s="32"/>
      <c r="AV823" s="277"/>
      <c r="AW823" s="277"/>
      <c r="AX823" s="277"/>
      <c r="AY823" s="280"/>
      <c r="AZ823" s="268"/>
      <c r="BA823" s="268"/>
      <c r="BB823" s="13"/>
      <c r="BC823" s="36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</row>
    <row r="824" spans="1:73">
      <c r="A824" s="13"/>
      <c r="B824" s="13"/>
      <c r="C824" s="13"/>
      <c r="D824" s="13"/>
      <c r="E824" s="13"/>
      <c r="F824" s="13"/>
      <c r="G824" s="36"/>
      <c r="H824" s="36"/>
      <c r="I824" s="36"/>
      <c r="J824" s="36"/>
      <c r="K824" s="36"/>
      <c r="L824" s="36"/>
      <c r="M824" s="36"/>
      <c r="N824" s="13"/>
      <c r="O824" s="202"/>
      <c r="P824" s="36"/>
      <c r="Q824" s="52"/>
      <c r="R824" s="52"/>
      <c r="S824" s="52"/>
      <c r="U824" s="202"/>
      <c r="V824" s="202"/>
      <c r="W824" s="202"/>
      <c r="X824" s="202"/>
      <c r="Y824" s="13"/>
      <c r="Z824" s="36"/>
      <c r="AA824" s="13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289"/>
      <c r="AO824" s="289"/>
      <c r="AP824" s="289"/>
      <c r="AQ824" s="36"/>
      <c r="AR824" s="283"/>
      <c r="AS824" s="13"/>
      <c r="AT824" s="13"/>
      <c r="AU824" s="32"/>
      <c r="AV824" s="277"/>
      <c r="AW824" s="277"/>
      <c r="AX824" s="277"/>
      <c r="AY824" s="280"/>
      <c r="AZ824" s="268"/>
      <c r="BA824" s="268"/>
      <c r="BB824" s="13"/>
      <c r="BC824" s="36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</row>
    <row r="825" spans="1:73">
      <c r="A825" s="13"/>
      <c r="B825" s="13"/>
      <c r="C825" s="13"/>
      <c r="D825" s="13"/>
      <c r="E825" s="13"/>
      <c r="F825" s="13"/>
      <c r="G825" s="36"/>
      <c r="H825" s="36"/>
      <c r="I825" s="36"/>
      <c r="J825" s="36"/>
      <c r="K825" s="36"/>
      <c r="L825" s="36"/>
      <c r="M825" s="36"/>
      <c r="N825" s="13"/>
      <c r="O825" s="202"/>
      <c r="P825" s="36"/>
      <c r="Q825" s="52"/>
      <c r="R825" s="52"/>
      <c r="S825" s="52"/>
      <c r="U825" s="202"/>
      <c r="V825" s="202"/>
      <c r="W825" s="202"/>
      <c r="X825" s="202"/>
      <c r="Y825" s="13"/>
      <c r="Z825" s="36"/>
      <c r="AA825" s="13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289"/>
      <c r="AO825" s="289"/>
      <c r="AP825" s="289"/>
      <c r="AQ825" s="36"/>
      <c r="AR825" s="283"/>
      <c r="AS825" s="13"/>
      <c r="AT825" s="13"/>
      <c r="AU825" s="32"/>
      <c r="AV825" s="277"/>
      <c r="AW825" s="277"/>
      <c r="AX825" s="277"/>
      <c r="AY825" s="280"/>
      <c r="AZ825" s="268"/>
      <c r="BA825" s="268"/>
      <c r="BB825" s="13"/>
      <c r="BC825" s="36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</row>
    <row r="826" spans="1:73">
      <c r="A826" s="13"/>
      <c r="B826" s="13"/>
      <c r="C826" s="13"/>
      <c r="D826" s="13"/>
      <c r="E826" s="13"/>
      <c r="F826" s="13"/>
      <c r="G826" s="36"/>
      <c r="H826" s="36"/>
      <c r="I826" s="36"/>
      <c r="J826" s="36"/>
      <c r="K826" s="36"/>
      <c r="L826" s="36"/>
      <c r="M826" s="36"/>
      <c r="N826" s="13"/>
      <c r="O826" s="202"/>
      <c r="P826" s="36"/>
      <c r="Q826" s="52"/>
      <c r="R826" s="52"/>
      <c r="S826" s="52"/>
      <c r="U826" s="202"/>
      <c r="V826" s="202"/>
      <c r="W826" s="202"/>
      <c r="X826" s="202"/>
      <c r="Y826" s="13"/>
      <c r="Z826" s="36"/>
      <c r="AA826" s="13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289"/>
      <c r="AO826" s="289"/>
      <c r="AP826" s="289"/>
      <c r="AQ826" s="36"/>
      <c r="AR826" s="283"/>
      <c r="AS826" s="13"/>
      <c r="AT826" s="13"/>
      <c r="AU826" s="32"/>
      <c r="AV826" s="277"/>
      <c r="AW826" s="277"/>
      <c r="AX826" s="277"/>
      <c r="AY826" s="280"/>
      <c r="AZ826" s="268"/>
      <c r="BA826" s="268"/>
      <c r="BB826" s="13"/>
      <c r="BC826" s="36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</row>
    <row r="827" spans="1:73">
      <c r="A827" s="13"/>
      <c r="B827" s="13"/>
      <c r="C827" s="13"/>
      <c r="D827" s="13"/>
      <c r="E827" s="13"/>
      <c r="F827" s="13"/>
      <c r="G827" s="36"/>
      <c r="H827" s="36"/>
      <c r="I827" s="36"/>
      <c r="J827" s="36"/>
      <c r="K827" s="36"/>
      <c r="L827" s="36"/>
      <c r="M827" s="36"/>
      <c r="N827" s="13"/>
      <c r="O827" s="202"/>
      <c r="P827" s="36"/>
      <c r="Q827" s="52"/>
      <c r="R827" s="52"/>
      <c r="S827" s="52"/>
      <c r="U827" s="202"/>
      <c r="V827" s="202"/>
      <c r="W827" s="202"/>
      <c r="X827" s="202"/>
      <c r="Y827" s="13"/>
      <c r="Z827" s="36"/>
      <c r="AA827" s="13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289"/>
      <c r="AO827" s="289"/>
      <c r="AP827" s="289"/>
      <c r="AQ827" s="36"/>
      <c r="AR827" s="283"/>
      <c r="AS827" s="13"/>
      <c r="AT827" s="13"/>
      <c r="AU827" s="32"/>
      <c r="AV827" s="277"/>
      <c r="AW827" s="277"/>
      <c r="AX827" s="277"/>
      <c r="AY827" s="280"/>
      <c r="AZ827" s="268"/>
      <c r="BA827" s="268"/>
      <c r="BB827" s="13"/>
      <c r="BC827" s="36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</row>
    <row r="828" spans="1:73">
      <c r="A828" s="13"/>
      <c r="B828" s="13"/>
      <c r="C828" s="13"/>
      <c r="D828" s="13"/>
      <c r="E828" s="13"/>
      <c r="F828" s="13"/>
      <c r="G828" s="36"/>
      <c r="H828" s="36"/>
      <c r="I828" s="36"/>
      <c r="J828" s="36"/>
      <c r="K828" s="36"/>
      <c r="L828" s="36"/>
      <c r="M828" s="36"/>
      <c r="N828" s="13"/>
      <c r="O828" s="202"/>
      <c r="P828" s="36"/>
      <c r="Q828" s="52"/>
      <c r="R828" s="52"/>
      <c r="S828" s="52"/>
      <c r="U828" s="202"/>
      <c r="V828" s="202"/>
      <c r="W828" s="202"/>
      <c r="X828" s="202"/>
      <c r="Y828" s="13"/>
      <c r="Z828" s="36"/>
      <c r="AA828" s="13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289"/>
      <c r="AO828" s="289"/>
      <c r="AP828" s="289"/>
      <c r="AQ828" s="36"/>
      <c r="AR828" s="283"/>
      <c r="AS828" s="13"/>
      <c r="AT828" s="13"/>
      <c r="AU828" s="32"/>
      <c r="AV828" s="277"/>
      <c r="AW828" s="277"/>
      <c r="AX828" s="277"/>
      <c r="AY828" s="280"/>
      <c r="AZ828" s="268"/>
      <c r="BA828" s="268"/>
      <c r="BB828" s="13"/>
      <c r="BC828" s="36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</row>
    <row r="829" spans="1:73">
      <c r="A829" s="13"/>
      <c r="B829" s="13"/>
      <c r="C829" s="13"/>
      <c r="D829" s="13"/>
      <c r="E829" s="13"/>
      <c r="F829" s="13"/>
      <c r="G829" s="36"/>
      <c r="H829" s="36"/>
      <c r="I829" s="36"/>
      <c r="J829" s="36"/>
      <c r="K829" s="36"/>
      <c r="L829" s="36"/>
      <c r="M829" s="36"/>
      <c r="N829" s="13"/>
      <c r="O829" s="202"/>
      <c r="P829" s="36"/>
      <c r="Q829" s="52"/>
      <c r="R829" s="52"/>
      <c r="S829" s="52"/>
      <c r="U829" s="202"/>
      <c r="V829" s="202"/>
      <c r="W829" s="202"/>
      <c r="X829" s="202"/>
      <c r="Y829" s="13"/>
      <c r="Z829" s="36"/>
      <c r="AA829" s="13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289"/>
      <c r="AO829" s="289"/>
      <c r="AP829" s="289"/>
      <c r="AQ829" s="36"/>
      <c r="AR829" s="283"/>
      <c r="AS829" s="13"/>
      <c r="AT829" s="13"/>
      <c r="AU829" s="32"/>
      <c r="AV829" s="277"/>
      <c r="AW829" s="277"/>
      <c r="AX829" s="277"/>
      <c r="AY829" s="280"/>
      <c r="AZ829" s="268"/>
      <c r="BA829" s="268"/>
      <c r="BB829" s="13"/>
      <c r="BC829" s="36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</row>
    <row r="830" spans="1:73">
      <c r="A830" s="13"/>
      <c r="B830" s="13"/>
      <c r="C830" s="13"/>
      <c r="D830" s="13"/>
      <c r="E830" s="13"/>
      <c r="F830" s="13"/>
      <c r="G830" s="36"/>
      <c r="H830" s="36"/>
      <c r="I830" s="36"/>
      <c r="J830" s="36"/>
      <c r="K830" s="36"/>
      <c r="L830" s="36"/>
      <c r="M830" s="36"/>
      <c r="N830" s="13"/>
      <c r="O830" s="202"/>
      <c r="P830" s="36"/>
      <c r="Q830" s="52"/>
      <c r="R830" s="52"/>
      <c r="S830" s="52"/>
      <c r="U830" s="202"/>
      <c r="V830" s="202"/>
      <c r="W830" s="202"/>
      <c r="X830" s="202"/>
      <c r="Y830" s="13"/>
      <c r="Z830" s="36"/>
      <c r="AA830" s="13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289"/>
      <c r="AO830" s="289"/>
      <c r="AP830" s="289"/>
      <c r="AQ830" s="36"/>
      <c r="AR830" s="283"/>
      <c r="AS830" s="13"/>
      <c r="AT830" s="13"/>
      <c r="AU830" s="32"/>
      <c r="AV830" s="277"/>
      <c r="AW830" s="277"/>
      <c r="AX830" s="277"/>
      <c r="AY830" s="280"/>
      <c r="AZ830" s="268"/>
      <c r="BA830" s="268"/>
      <c r="BB830" s="13"/>
      <c r="BC830" s="36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</row>
    <row r="831" spans="1:73">
      <c r="A831" s="13"/>
      <c r="B831" s="13"/>
      <c r="C831" s="13"/>
      <c r="D831" s="13"/>
      <c r="E831" s="13"/>
      <c r="F831" s="13"/>
      <c r="G831" s="36"/>
      <c r="H831" s="36"/>
      <c r="I831" s="36"/>
      <c r="J831" s="36"/>
      <c r="K831" s="36"/>
      <c r="L831" s="36"/>
      <c r="M831" s="36"/>
      <c r="N831" s="13"/>
      <c r="O831" s="202"/>
      <c r="P831" s="36"/>
      <c r="Q831" s="52"/>
      <c r="R831" s="52"/>
      <c r="S831" s="52"/>
      <c r="U831" s="202"/>
      <c r="V831" s="202"/>
      <c r="W831" s="202"/>
      <c r="X831" s="202"/>
      <c r="Y831" s="13"/>
      <c r="Z831" s="36"/>
      <c r="AA831" s="13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289"/>
      <c r="AO831" s="289"/>
      <c r="AP831" s="289"/>
      <c r="AQ831" s="36"/>
      <c r="AR831" s="283"/>
      <c r="AS831" s="13"/>
      <c r="AT831" s="13"/>
      <c r="AU831" s="32"/>
      <c r="AV831" s="277"/>
      <c r="AW831" s="277"/>
      <c r="AX831" s="277"/>
      <c r="AY831" s="280"/>
      <c r="AZ831" s="268"/>
      <c r="BA831" s="268"/>
      <c r="BB831" s="13"/>
      <c r="BC831" s="36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</row>
    <row r="832" spans="1:73">
      <c r="A832" s="13"/>
      <c r="B832" s="13"/>
      <c r="C832" s="13"/>
      <c r="D832" s="13"/>
      <c r="E832" s="13"/>
      <c r="F832" s="13"/>
      <c r="G832" s="36"/>
      <c r="H832" s="36"/>
      <c r="I832" s="36"/>
      <c r="J832" s="36"/>
      <c r="K832" s="36"/>
      <c r="L832" s="36"/>
      <c r="M832" s="36"/>
      <c r="N832" s="13"/>
      <c r="O832" s="202"/>
      <c r="P832" s="36"/>
      <c r="Q832" s="52"/>
      <c r="R832" s="52"/>
      <c r="S832" s="52"/>
      <c r="U832" s="202"/>
      <c r="V832" s="202"/>
      <c r="W832" s="202"/>
      <c r="X832" s="202"/>
      <c r="Y832" s="13"/>
      <c r="Z832" s="36"/>
      <c r="AA832" s="13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289"/>
      <c r="AO832" s="289"/>
      <c r="AP832" s="289"/>
      <c r="AQ832" s="36"/>
      <c r="AR832" s="283"/>
      <c r="AS832" s="13"/>
      <c r="AT832" s="13"/>
      <c r="AU832" s="32"/>
      <c r="AV832" s="277"/>
      <c r="AW832" s="277"/>
      <c r="AX832" s="277"/>
      <c r="AY832" s="280"/>
      <c r="AZ832" s="268"/>
      <c r="BA832" s="268"/>
      <c r="BB832" s="13"/>
      <c r="BC832" s="36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</row>
    <row r="833" spans="1:73">
      <c r="A833" s="13"/>
      <c r="B833" s="13"/>
      <c r="C833" s="13"/>
      <c r="D833" s="13"/>
      <c r="E833" s="13"/>
      <c r="F833" s="13"/>
      <c r="G833" s="36"/>
      <c r="H833" s="36"/>
      <c r="I833" s="36"/>
      <c r="J833" s="36"/>
      <c r="K833" s="36"/>
      <c r="L833" s="36"/>
      <c r="M833" s="36"/>
      <c r="N833" s="13"/>
      <c r="O833" s="202"/>
      <c r="P833" s="36"/>
      <c r="Q833" s="52"/>
      <c r="R833" s="52"/>
      <c r="S833" s="52"/>
      <c r="U833" s="202"/>
      <c r="V833" s="202"/>
      <c r="W833" s="202"/>
      <c r="X833" s="202"/>
      <c r="Y833" s="13"/>
      <c r="Z833" s="36"/>
      <c r="AA833" s="13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289"/>
      <c r="AO833" s="289"/>
      <c r="AP833" s="289"/>
      <c r="AQ833" s="36"/>
      <c r="AR833" s="283"/>
      <c r="AS833" s="13"/>
      <c r="AT833" s="13"/>
      <c r="AU833" s="32"/>
      <c r="AV833" s="277"/>
      <c r="AW833" s="277"/>
      <c r="AX833" s="277"/>
      <c r="AY833" s="280"/>
      <c r="AZ833" s="268"/>
      <c r="BA833" s="268"/>
      <c r="BB833" s="13"/>
      <c r="BC833" s="36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</row>
    <row r="834" spans="1:73">
      <c r="A834" s="13"/>
      <c r="B834" s="13"/>
      <c r="C834" s="13"/>
      <c r="D834" s="13"/>
      <c r="E834" s="13"/>
      <c r="F834" s="13"/>
      <c r="G834" s="36"/>
      <c r="H834" s="36"/>
      <c r="I834" s="36"/>
      <c r="J834" s="36"/>
      <c r="K834" s="36"/>
      <c r="L834" s="36"/>
      <c r="M834" s="36"/>
      <c r="N834" s="13"/>
      <c r="O834" s="202"/>
      <c r="P834" s="36"/>
      <c r="Q834" s="52"/>
      <c r="R834" s="52"/>
      <c r="S834" s="52"/>
      <c r="U834" s="202"/>
      <c r="V834" s="202"/>
      <c r="W834" s="202"/>
      <c r="X834" s="202"/>
      <c r="Y834" s="13"/>
      <c r="Z834" s="36"/>
      <c r="AA834" s="13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289"/>
      <c r="AO834" s="289"/>
      <c r="AP834" s="289"/>
      <c r="AQ834" s="36"/>
      <c r="AR834" s="283"/>
      <c r="AS834" s="13"/>
      <c r="AT834" s="13"/>
      <c r="AU834" s="32"/>
      <c r="AV834" s="277"/>
      <c r="AW834" s="277"/>
      <c r="AX834" s="277"/>
      <c r="AY834" s="280"/>
      <c r="AZ834" s="268"/>
      <c r="BA834" s="268"/>
      <c r="BB834" s="13"/>
      <c r="BC834" s="36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</row>
    <row r="835" spans="1:73">
      <c r="A835" s="13"/>
      <c r="B835" s="13"/>
      <c r="C835" s="13"/>
      <c r="D835" s="13"/>
      <c r="E835" s="13"/>
      <c r="F835" s="13"/>
      <c r="G835" s="36"/>
      <c r="H835" s="36"/>
      <c r="I835" s="36"/>
      <c r="J835" s="36"/>
      <c r="K835" s="36"/>
      <c r="L835" s="36"/>
      <c r="M835" s="36"/>
      <c r="N835" s="13"/>
      <c r="O835" s="202"/>
      <c r="P835" s="36"/>
      <c r="Q835" s="52"/>
      <c r="R835" s="52"/>
      <c r="S835" s="52"/>
      <c r="U835" s="202"/>
      <c r="V835" s="202"/>
      <c r="W835" s="202"/>
      <c r="X835" s="202"/>
      <c r="Y835" s="13"/>
      <c r="Z835" s="36"/>
      <c r="AA835" s="13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289"/>
      <c r="AO835" s="289"/>
      <c r="AP835" s="289"/>
      <c r="AQ835" s="36"/>
      <c r="AR835" s="283"/>
      <c r="AS835" s="13"/>
      <c r="AT835" s="13"/>
      <c r="AU835" s="32"/>
      <c r="AV835" s="277"/>
      <c r="AW835" s="277"/>
      <c r="AX835" s="277"/>
      <c r="AY835" s="280"/>
      <c r="AZ835" s="268"/>
      <c r="BA835" s="268"/>
      <c r="BB835" s="13"/>
      <c r="BC835" s="36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</row>
    <row r="836" spans="1:73">
      <c r="A836" s="13"/>
      <c r="B836" s="13"/>
      <c r="C836" s="13"/>
      <c r="D836" s="13"/>
      <c r="E836" s="13"/>
      <c r="F836" s="13"/>
      <c r="G836" s="36"/>
      <c r="H836" s="36"/>
      <c r="I836" s="36"/>
      <c r="J836" s="36"/>
      <c r="K836" s="36"/>
      <c r="L836" s="36"/>
      <c r="M836" s="36"/>
      <c r="N836" s="13"/>
      <c r="O836" s="202"/>
      <c r="P836" s="36"/>
      <c r="Q836" s="52"/>
      <c r="R836" s="52"/>
      <c r="S836" s="52"/>
      <c r="U836" s="202"/>
      <c r="V836" s="202"/>
      <c r="W836" s="202"/>
      <c r="X836" s="202"/>
      <c r="Y836" s="13"/>
      <c r="Z836" s="36"/>
      <c r="AA836" s="13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289"/>
      <c r="AO836" s="289"/>
      <c r="AP836" s="289"/>
      <c r="AQ836" s="36"/>
      <c r="AR836" s="283"/>
      <c r="AS836" s="13"/>
      <c r="AT836" s="13"/>
      <c r="AU836" s="32"/>
      <c r="AV836" s="277"/>
      <c r="AW836" s="277"/>
      <c r="AX836" s="277"/>
      <c r="AY836" s="280"/>
      <c r="AZ836" s="268"/>
      <c r="BA836" s="268"/>
      <c r="BB836" s="13"/>
      <c r="BC836" s="36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</row>
    <row r="837" spans="1:73">
      <c r="A837" s="13"/>
      <c r="B837" s="13"/>
      <c r="C837" s="13"/>
      <c r="D837" s="13"/>
      <c r="E837" s="13"/>
      <c r="F837" s="13"/>
      <c r="G837" s="36"/>
      <c r="H837" s="36"/>
      <c r="I837" s="36"/>
      <c r="J837" s="36"/>
      <c r="K837" s="36"/>
      <c r="L837" s="36"/>
      <c r="M837" s="36"/>
      <c r="N837" s="13"/>
      <c r="O837" s="202"/>
      <c r="P837" s="36"/>
      <c r="Q837" s="52"/>
      <c r="R837" s="52"/>
      <c r="S837" s="52"/>
      <c r="U837" s="202"/>
      <c r="V837" s="202"/>
      <c r="W837" s="202"/>
      <c r="X837" s="202"/>
      <c r="Y837" s="13"/>
      <c r="Z837" s="36"/>
      <c r="AA837" s="13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289"/>
      <c r="AO837" s="289"/>
      <c r="AP837" s="289"/>
      <c r="AQ837" s="36"/>
      <c r="AR837" s="283"/>
      <c r="AS837" s="13"/>
      <c r="AT837" s="13"/>
      <c r="AU837" s="32"/>
      <c r="AV837" s="277"/>
      <c r="AW837" s="277"/>
      <c r="AX837" s="277"/>
      <c r="AY837" s="280"/>
      <c r="AZ837" s="268"/>
      <c r="BA837" s="268"/>
      <c r="BB837" s="13"/>
      <c r="BC837" s="36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</row>
    <row r="838" spans="1:73">
      <c r="A838" s="13"/>
      <c r="B838" s="13"/>
      <c r="C838" s="13"/>
      <c r="D838" s="13"/>
      <c r="E838" s="13"/>
      <c r="F838" s="13"/>
      <c r="G838" s="36"/>
      <c r="H838" s="36"/>
      <c r="I838" s="36"/>
      <c r="J838" s="36"/>
      <c r="K838" s="36"/>
      <c r="L838" s="36"/>
      <c r="M838" s="36"/>
      <c r="N838" s="13"/>
      <c r="O838" s="202"/>
      <c r="P838" s="36"/>
      <c r="Q838" s="52"/>
      <c r="R838" s="52"/>
      <c r="S838" s="52"/>
      <c r="U838" s="202"/>
      <c r="V838" s="202"/>
      <c r="W838" s="202"/>
      <c r="X838" s="202"/>
      <c r="Y838" s="13"/>
      <c r="Z838" s="36"/>
      <c r="AA838" s="13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289"/>
      <c r="AO838" s="289"/>
      <c r="AP838" s="289"/>
      <c r="AQ838" s="36"/>
      <c r="AR838" s="283"/>
      <c r="AS838" s="13"/>
      <c r="AT838" s="13"/>
      <c r="AU838" s="32"/>
      <c r="AV838" s="277"/>
      <c r="AW838" s="277"/>
      <c r="AX838" s="277"/>
      <c r="AY838" s="280"/>
      <c r="AZ838" s="268"/>
      <c r="BA838" s="268"/>
      <c r="BB838" s="13"/>
      <c r="BC838" s="36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</row>
    <row r="839" spans="1:73">
      <c r="A839" s="13"/>
      <c r="B839" s="13"/>
      <c r="C839" s="13"/>
      <c r="D839" s="13"/>
      <c r="E839" s="13"/>
      <c r="F839" s="13"/>
      <c r="G839" s="36"/>
      <c r="H839" s="36"/>
      <c r="I839" s="36"/>
      <c r="J839" s="36"/>
      <c r="K839" s="36"/>
      <c r="L839" s="36"/>
      <c r="M839" s="36"/>
      <c r="N839" s="13"/>
      <c r="O839" s="202"/>
      <c r="P839" s="36"/>
      <c r="Q839" s="52"/>
      <c r="R839" s="52"/>
      <c r="S839" s="52"/>
      <c r="U839" s="202"/>
      <c r="V839" s="202"/>
      <c r="W839" s="202"/>
      <c r="X839" s="202"/>
      <c r="Y839" s="13"/>
      <c r="Z839" s="36"/>
      <c r="AA839" s="13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289"/>
      <c r="AO839" s="289"/>
      <c r="AP839" s="289"/>
      <c r="AQ839" s="36"/>
      <c r="AR839" s="283"/>
      <c r="AS839" s="13"/>
      <c r="AT839" s="13"/>
      <c r="AU839" s="32"/>
      <c r="AV839" s="277"/>
      <c r="AW839" s="277"/>
      <c r="AX839" s="277"/>
      <c r="AY839" s="280"/>
      <c r="AZ839" s="268"/>
      <c r="BA839" s="268"/>
      <c r="BB839" s="13"/>
      <c r="BC839" s="36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</row>
    <row r="840" spans="1:73">
      <c r="A840" s="13"/>
      <c r="B840" s="13"/>
      <c r="C840" s="13"/>
      <c r="D840" s="13"/>
      <c r="E840" s="13"/>
      <c r="F840" s="13"/>
      <c r="G840" s="36"/>
      <c r="H840" s="36"/>
      <c r="I840" s="36"/>
      <c r="J840" s="36"/>
      <c r="K840" s="36"/>
      <c r="L840" s="36"/>
      <c r="M840" s="36"/>
      <c r="N840" s="13"/>
      <c r="O840" s="202"/>
      <c r="P840" s="36"/>
      <c r="Q840" s="52"/>
      <c r="R840" s="52"/>
      <c r="S840" s="52"/>
      <c r="U840" s="202"/>
      <c r="V840" s="202"/>
      <c r="W840" s="202"/>
      <c r="X840" s="202"/>
      <c r="Y840" s="13"/>
      <c r="Z840" s="36"/>
      <c r="AA840" s="13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289"/>
      <c r="AO840" s="289"/>
      <c r="AP840" s="289"/>
      <c r="AQ840" s="36"/>
      <c r="AR840" s="283"/>
      <c r="AS840" s="13"/>
      <c r="AT840" s="13"/>
      <c r="AU840" s="32"/>
      <c r="AV840" s="277"/>
      <c r="AW840" s="277"/>
      <c r="AX840" s="277"/>
      <c r="AY840" s="280"/>
      <c r="AZ840" s="268"/>
      <c r="BA840" s="268"/>
      <c r="BB840" s="13"/>
      <c r="BC840" s="36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</row>
    <row r="841" spans="1:73">
      <c r="A841" s="13"/>
      <c r="B841" s="13"/>
      <c r="C841" s="13"/>
      <c r="D841" s="13"/>
      <c r="E841" s="13"/>
      <c r="F841" s="13"/>
      <c r="G841" s="36"/>
      <c r="H841" s="36"/>
      <c r="I841" s="36"/>
      <c r="J841" s="36"/>
      <c r="K841" s="36"/>
      <c r="L841" s="36"/>
      <c r="M841" s="36"/>
      <c r="N841" s="13"/>
      <c r="O841" s="202"/>
      <c r="P841" s="36"/>
      <c r="Q841" s="52"/>
      <c r="R841" s="52"/>
      <c r="S841" s="52"/>
      <c r="U841" s="202"/>
      <c r="V841" s="202"/>
      <c r="W841" s="202"/>
      <c r="X841" s="202"/>
      <c r="Y841" s="13"/>
      <c r="Z841" s="36"/>
      <c r="AA841" s="13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289"/>
      <c r="AO841" s="289"/>
      <c r="AP841" s="289"/>
      <c r="AQ841" s="36"/>
      <c r="AR841" s="283"/>
      <c r="AS841" s="13"/>
      <c r="AT841" s="13"/>
      <c r="AU841" s="32"/>
      <c r="AV841" s="277"/>
      <c r="AW841" s="277"/>
      <c r="AX841" s="277"/>
      <c r="AY841" s="280"/>
      <c r="AZ841" s="268"/>
      <c r="BA841" s="268"/>
      <c r="BB841" s="13"/>
      <c r="BC841" s="36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</row>
    <row r="842" spans="1:73">
      <c r="A842" s="13"/>
      <c r="B842" s="13"/>
      <c r="C842" s="13"/>
      <c r="D842" s="13"/>
      <c r="E842" s="13"/>
      <c r="F842" s="13"/>
      <c r="G842" s="36"/>
      <c r="H842" s="36"/>
      <c r="I842" s="36"/>
      <c r="J842" s="36"/>
      <c r="K842" s="36"/>
      <c r="L842" s="36"/>
      <c r="M842" s="36"/>
      <c r="N842" s="13"/>
      <c r="O842" s="202"/>
      <c r="P842" s="36"/>
      <c r="Q842" s="52"/>
      <c r="R842" s="52"/>
      <c r="S842" s="52"/>
      <c r="U842" s="202"/>
      <c r="V842" s="202"/>
      <c r="W842" s="202"/>
      <c r="X842" s="202"/>
      <c r="Y842" s="13"/>
      <c r="Z842" s="36"/>
      <c r="AA842" s="13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289"/>
      <c r="AO842" s="289"/>
      <c r="AP842" s="289"/>
      <c r="AQ842" s="36"/>
      <c r="AR842" s="283"/>
      <c r="AS842" s="13"/>
      <c r="AT842" s="13"/>
      <c r="AU842" s="32"/>
      <c r="AV842" s="277"/>
      <c r="AW842" s="277"/>
      <c r="AX842" s="277"/>
      <c r="AY842" s="280"/>
      <c r="AZ842" s="268"/>
      <c r="BA842" s="268"/>
      <c r="BB842" s="13"/>
      <c r="BC842" s="36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</row>
    <row r="843" spans="1:73">
      <c r="A843" s="13"/>
      <c r="B843" s="13"/>
      <c r="C843" s="13"/>
      <c r="D843" s="13"/>
      <c r="E843" s="13"/>
      <c r="F843" s="13"/>
      <c r="G843" s="36"/>
      <c r="H843" s="36"/>
      <c r="I843" s="36"/>
      <c r="J843" s="36"/>
      <c r="K843" s="36"/>
      <c r="L843" s="36"/>
      <c r="M843" s="36"/>
      <c r="N843" s="13"/>
      <c r="O843" s="202"/>
      <c r="P843" s="36"/>
      <c r="Q843" s="52"/>
      <c r="R843" s="52"/>
      <c r="S843" s="52"/>
      <c r="U843" s="202"/>
      <c r="V843" s="202"/>
      <c r="W843" s="202"/>
      <c r="X843" s="202"/>
      <c r="Y843" s="13"/>
      <c r="Z843" s="36"/>
      <c r="AA843" s="13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289"/>
      <c r="AO843" s="289"/>
      <c r="AP843" s="289"/>
      <c r="AQ843" s="36"/>
      <c r="AR843" s="283"/>
      <c r="AS843" s="13"/>
      <c r="AT843" s="13"/>
      <c r="AU843" s="32"/>
      <c r="AV843" s="277"/>
      <c r="AW843" s="277"/>
      <c r="AX843" s="277"/>
      <c r="AY843" s="280"/>
      <c r="AZ843" s="268"/>
      <c r="BA843" s="268"/>
      <c r="BB843" s="13"/>
      <c r="BC843" s="36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</row>
    <row r="844" spans="1:73">
      <c r="A844" s="13"/>
      <c r="B844" s="13"/>
      <c r="C844" s="13"/>
      <c r="D844" s="13"/>
      <c r="E844" s="13"/>
      <c r="F844" s="13"/>
      <c r="G844" s="36"/>
      <c r="H844" s="36"/>
      <c r="I844" s="36"/>
      <c r="J844" s="36"/>
      <c r="K844" s="36"/>
      <c r="L844" s="36"/>
      <c r="M844" s="36"/>
      <c r="N844" s="13"/>
      <c r="O844" s="202"/>
      <c r="P844" s="36"/>
      <c r="Q844" s="52"/>
      <c r="R844" s="52"/>
      <c r="S844" s="52"/>
      <c r="U844" s="202"/>
      <c r="V844" s="202"/>
      <c r="W844" s="202"/>
      <c r="X844" s="202"/>
      <c r="Y844" s="13"/>
      <c r="Z844" s="36"/>
      <c r="AA844" s="13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289"/>
      <c r="AO844" s="289"/>
      <c r="AP844" s="289"/>
      <c r="AQ844" s="36"/>
      <c r="AR844" s="283"/>
      <c r="AS844" s="13"/>
      <c r="AT844" s="13"/>
      <c r="AU844" s="32"/>
      <c r="AV844" s="277"/>
      <c r="AW844" s="277"/>
      <c r="AX844" s="277"/>
      <c r="AY844" s="280"/>
      <c r="AZ844" s="268"/>
      <c r="BA844" s="268"/>
      <c r="BB844" s="13"/>
      <c r="BC844" s="36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</row>
    <row r="845" spans="1:73">
      <c r="A845" s="13"/>
      <c r="B845" s="13"/>
      <c r="C845" s="13"/>
      <c r="D845" s="13"/>
      <c r="E845" s="13"/>
      <c r="F845" s="13"/>
      <c r="G845" s="36"/>
      <c r="H845" s="36"/>
      <c r="I845" s="36"/>
      <c r="J845" s="36"/>
      <c r="K845" s="36"/>
      <c r="L845" s="36"/>
      <c r="M845" s="36"/>
      <c r="N845" s="13"/>
      <c r="O845" s="202"/>
      <c r="P845" s="36"/>
      <c r="Q845" s="52"/>
      <c r="R845" s="52"/>
      <c r="S845" s="52"/>
      <c r="U845" s="202"/>
      <c r="V845" s="202"/>
      <c r="W845" s="202"/>
      <c r="X845" s="202"/>
      <c r="Y845" s="13"/>
      <c r="Z845" s="36"/>
      <c r="AA845" s="13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289"/>
      <c r="AO845" s="289"/>
      <c r="AP845" s="289"/>
      <c r="AQ845" s="36"/>
      <c r="AR845" s="283"/>
      <c r="AS845" s="13"/>
      <c r="AT845" s="13"/>
      <c r="AU845" s="32"/>
      <c r="AV845" s="277"/>
      <c r="AW845" s="277"/>
      <c r="AX845" s="277"/>
      <c r="AY845" s="280"/>
      <c r="AZ845" s="268"/>
      <c r="BA845" s="268"/>
      <c r="BB845" s="13"/>
      <c r="BC845" s="36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</row>
    <row r="846" spans="1:73">
      <c r="A846" s="13"/>
      <c r="B846" s="13"/>
      <c r="C846" s="13"/>
      <c r="D846" s="13"/>
      <c r="E846" s="13"/>
      <c r="F846" s="13"/>
      <c r="G846" s="36"/>
      <c r="H846" s="36"/>
      <c r="I846" s="36"/>
      <c r="J846" s="36"/>
      <c r="K846" s="36"/>
      <c r="L846" s="36"/>
      <c r="M846" s="36"/>
      <c r="N846" s="13"/>
      <c r="O846" s="202"/>
      <c r="P846" s="36"/>
      <c r="Q846" s="52"/>
      <c r="R846" s="52"/>
      <c r="S846" s="52"/>
      <c r="U846" s="202"/>
      <c r="V846" s="202"/>
      <c r="W846" s="202"/>
      <c r="X846" s="202"/>
      <c r="Y846" s="13"/>
      <c r="Z846" s="36"/>
      <c r="AA846" s="13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289"/>
      <c r="AO846" s="289"/>
      <c r="AP846" s="289"/>
      <c r="AQ846" s="36"/>
      <c r="AR846" s="283"/>
      <c r="AS846" s="13"/>
      <c r="AT846" s="13"/>
      <c r="AU846" s="32"/>
      <c r="AV846" s="277"/>
      <c r="AW846" s="277"/>
      <c r="AX846" s="277"/>
      <c r="AY846" s="280"/>
      <c r="AZ846" s="268"/>
      <c r="BA846" s="268"/>
      <c r="BB846" s="13"/>
      <c r="BC846" s="36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</row>
    <row r="847" spans="1:73">
      <c r="A847" s="13"/>
      <c r="B847" s="13"/>
      <c r="C847" s="13"/>
      <c r="D847" s="13"/>
      <c r="E847" s="13"/>
      <c r="F847" s="13"/>
      <c r="G847" s="36"/>
      <c r="H847" s="36"/>
      <c r="I847" s="36"/>
      <c r="J847" s="36"/>
      <c r="K847" s="36"/>
      <c r="L847" s="36"/>
      <c r="M847" s="36"/>
      <c r="N847" s="13"/>
      <c r="O847" s="202"/>
      <c r="P847" s="36"/>
      <c r="Q847" s="52"/>
      <c r="R847" s="52"/>
      <c r="S847" s="52"/>
      <c r="U847" s="202"/>
      <c r="V847" s="202"/>
      <c r="W847" s="202"/>
      <c r="X847" s="202"/>
      <c r="Y847" s="13"/>
      <c r="Z847" s="36"/>
      <c r="AA847" s="13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289"/>
      <c r="AO847" s="289"/>
      <c r="AP847" s="289"/>
      <c r="AQ847" s="36"/>
      <c r="AR847" s="283"/>
      <c r="AS847" s="13"/>
      <c r="AT847" s="13"/>
      <c r="AU847" s="32"/>
      <c r="AV847" s="277"/>
      <c r="AW847" s="277"/>
      <c r="AX847" s="277"/>
      <c r="AY847" s="280"/>
      <c r="AZ847" s="268"/>
      <c r="BA847" s="268"/>
      <c r="BB847" s="13"/>
      <c r="BC847" s="36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</row>
    <row r="848" spans="1:73">
      <c r="A848" s="13"/>
      <c r="B848" s="13"/>
      <c r="C848" s="13"/>
      <c r="D848" s="13"/>
      <c r="E848" s="13"/>
      <c r="F848" s="13"/>
      <c r="G848" s="36"/>
      <c r="H848" s="36"/>
      <c r="I848" s="36"/>
      <c r="J848" s="36"/>
      <c r="K848" s="36"/>
      <c r="L848" s="36"/>
      <c r="M848" s="36"/>
      <c r="N848" s="13"/>
      <c r="O848" s="202"/>
      <c r="P848" s="36"/>
      <c r="Q848" s="52"/>
      <c r="R848" s="52"/>
      <c r="S848" s="52"/>
      <c r="U848" s="202"/>
      <c r="V848" s="202"/>
      <c r="W848" s="202"/>
      <c r="X848" s="202"/>
      <c r="Y848" s="13"/>
      <c r="Z848" s="36"/>
      <c r="AA848" s="13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289"/>
      <c r="AO848" s="289"/>
      <c r="AP848" s="289"/>
      <c r="AQ848" s="36"/>
      <c r="AR848" s="283"/>
      <c r="AS848" s="13"/>
      <c r="AT848" s="13"/>
      <c r="AU848" s="32"/>
      <c r="AV848" s="277"/>
      <c r="AW848" s="277"/>
      <c r="AX848" s="277"/>
      <c r="AY848" s="280"/>
      <c r="AZ848" s="268"/>
      <c r="BA848" s="268"/>
      <c r="BB848" s="13"/>
      <c r="BC848" s="36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</row>
    <row r="849" spans="1:73">
      <c r="A849" s="13"/>
      <c r="B849" s="13"/>
      <c r="C849" s="13"/>
      <c r="D849" s="13"/>
      <c r="E849" s="13"/>
      <c r="F849" s="13"/>
      <c r="G849" s="36"/>
      <c r="H849" s="36"/>
      <c r="I849" s="36"/>
      <c r="J849" s="36"/>
      <c r="K849" s="36"/>
      <c r="L849" s="36"/>
      <c r="M849" s="36"/>
      <c r="N849" s="13"/>
      <c r="O849" s="202"/>
      <c r="P849" s="36"/>
      <c r="Q849" s="52"/>
      <c r="R849" s="52"/>
      <c r="S849" s="52"/>
      <c r="U849" s="202"/>
      <c r="V849" s="202"/>
      <c r="W849" s="202"/>
      <c r="X849" s="202"/>
      <c r="Y849" s="13"/>
      <c r="Z849" s="36"/>
      <c r="AA849" s="13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289"/>
      <c r="AO849" s="289"/>
      <c r="AP849" s="289"/>
      <c r="AQ849" s="36"/>
      <c r="AR849" s="283"/>
      <c r="AS849" s="13"/>
      <c r="AT849" s="13"/>
      <c r="AU849" s="32"/>
      <c r="AV849" s="277"/>
      <c r="AW849" s="277"/>
      <c r="AX849" s="277"/>
      <c r="AY849" s="280"/>
      <c r="AZ849" s="268"/>
      <c r="BA849" s="268"/>
      <c r="BB849" s="13"/>
      <c r="BC849" s="36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</row>
    <row r="850" spans="1:73">
      <c r="A850" s="13"/>
      <c r="B850" s="13"/>
      <c r="C850" s="13"/>
      <c r="D850" s="13"/>
      <c r="E850" s="13"/>
      <c r="F850" s="13"/>
      <c r="G850" s="36"/>
      <c r="H850" s="36"/>
      <c r="I850" s="36"/>
      <c r="J850" s="36"/>
      <c r="K850" s="36"/>
      <c r="L850" s="36"/>
      <c r="M850" s="36"/>
      <c r="N850" s="13"/>
      <c r="O850" s="202"/>
      <c r="P850" s="36"/>
      <c r="Q850" s="52"/>
      <c r="R850" s="52"/>
      <c r="S850" s="52"/>
      <c r="U850" s="202"/>
      <c r="V850" s="202"/>
      <c r="W850" s="202"/>
      <c r="X850" s="202"/>
      <c r="Y850" s="13"/>
      <c r="Z850" s="36"/>
      <c r="AA850" s="13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289"/>
      <c r="AO850" s="289"/>
      <c r="AP850" s="289"/>
      <c r="AQ850" s="36"/>
      <c r="AR850" s="283"/>
      <c r="AS850" s="13"/>
      <c r="AT850" s="13"/>
      <c r="AU850" s="32"/>
      <c r="AV850" s="277"/>
      <c r="AW850" s="277"/>
      <c r="AX850" s="277"/>
      <c r="AY850" s="280"/>
      <c r="AZ850" s="268"/>
      <c r="BA850" s="268"/>
      <c r="BB850" s="13"/>
      <c r="BC850" s="36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</row>
    <row r="851" spans="1:73">
      <c r="A851" s="13"/>
      <c r="B851" s="13"/>
      <c r="C851" s="13"/>
      <c r="D851" s="13"/>
      <c r="E851" s="13"/>
      <c r="F851" s="13"/>
      <c r="G851" s="36"/>
      <c r="H851" s="36"/>
      <c r="I851" s="36"/>
      <c r="J851" s="36"/>
      <c r="K851" s="36"/>
      <c r="L851" s="36"/>
      <c r="M851" s="36"/>
      <c r="N851" s="13"/>
      <c r="O851" s="202"/>
      <c r="P851" s="36"/>
      <c r="Q851" s="52"/>
      <c r="R851" s="52"/>
      <c r="S851" s="52"/>
      <c r="U851" s="202"/>
      <c r="V851" s="202"/>
      <c r="W851" s="202"/>
      <c r="X851" s="202"/>
      <c r="Y851" s="13"/>
      <c r="Z851" s="36"/>
      <c r="AA851" s="13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289"/>
      <c r="AO851" s="289"/>
      <c r="AP851" s="289"/>
      <c r="AQ851" s="36"/>
      <c r="AR851" s="283"/>
      <c r="AS851" s="13"/>
      <c r="AT851" s="13"/>
      <c r="AU851" s="32"/>
      <c r="AV851" s="277"/>
      <c r="AW851" s="277"/>
      <c r="AX851" s="277"/>
      <c r="AY851" s="280"/>
      <c r="AZ851" s="268"/>
      <c r="BA851" s="268"/>
      <c r="BB851" s="13"/>
      <c r="BC851" s="36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</row>
    <row r="852" spans="1:73">
      <c r="A852" s="13"/>
      <c r="B852" s="13"/>
      <c r="C852" s="13"/>
      <c r="D852" s="13"/>
      <c r="E852" s="13"/>
      <c r="F852" s="13"/>
      <c r="G852" s="36"/>
      <c r="H852" s="36"/>
      <c r="I852" s="36"/>
      <c r="J852" s="36"/>
      <c r="K852" s="36"/>
      <c r="L852" s="36"/>
      <c r="M852" s="36"/>
      <c r="N852" s="13"/>
      <c r="O852" s="202"/>
      <c r="P852" s="36"/>
      <c r="Q852" s="52"/>
      <c r="R852" s="52"/>
      <c r="S852" s="52"/>
      <c r="U852" s="202"/>
      <c r="V852" s="202"/>
      <c r="W852" s="202"/>
      <c r="X852" s="202"/>
      <c r="Y852" s="13"/>
      <c r="Z852" s="36"/>
      <c r="AA852" s="13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289"/>
      <c r="AO852" s="289"/>
      <c r="AP852" s="289"/>
      <c r="AQ852" s="36"/>
      <c r="AR852" s="283"/>
      <c r="AS852" s="13"/>
      <c r="AT852" s="13"/>
      <c r="AU852" s="32"/>
      <c r="AV852" s="277"/>
      <c r="AW852" s="277"/>
      <c r="AX852" s="277"/>
      <c r="AY852" s="280"/>
      <c r="AZ852" s="268"/>
      <c r="BA852" s="268"/>
      <c r="BB852" s="13"/>
      <c r="BC852" s="36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</row>
    <row r="853" spans="1:73">
      <c r="A853" s="13"/>
      <c r="B853" s="13"/>
      <c r="C853" s="13"/>
      <c r="D853" s="13"/>
      <c r="E853" s="13"/>
      <c r="F853" s="13"/>
      <c r="G853" s="36"/>
      <c r="H853" s="36"/>
      <c r="I853" s="36"/>
      <c r="J853" s="36"/>
      <c r="K853" s="36"/>
      <c r="L853" s="36"/>
      <c r="M853" s="36"/>
      <c r="N853" s="13"/>
      <c r="O853" s="202"/>
      <c r="P853" s="36"/>
      <c r="Q853" s="52"/>
      <c r="R853" s="52"/>
      <c r="S853" s="52"/>
      <c r="U853" s="202"/>
      <c r="V853" s="202"/>
      <c r="W853" s="202"/>
      <c r="X853" s="202"/>
      <c r="Y853" s="13"/>
      <c r="Z853" s="36"/>
      <c r="AA853" s="13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289"/>
      <c r="AO853" s="289"/>
      <c r="AP853" s="289"/>
      <c r="AQ853" s="36"/>
      <c r="AR853" s="283"/>
      <c r="AS853" s="13"/>
      <c r="AT853" s="13"/>
      <c r="AU853" s="32"/>
      <c r="AV853" s="277"/>
      <c r="AW853" s="277"/>
      <c r="AX853" s="277"/>
      <c r="AY853" s="280"/>
      <c r="AZ853" s="268"/>
      <c r="BA853" s="268"/>
      <c r="BB853" s="13"/>
      <c r="BC853" s="36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</row>
    <row r="854" spans="1:73">
      <c r="A854" s="13"/>
      <c r="B854" s="13"/>
      <c r="C854" s="13"/>
      <c r="D854" s="13"/>
      <c r="E854" s="13"/>
      <c r="F854" s="13"/>
      <c r="G854" s="36"/>
      <c r="H854" s="36"/>
      <c r="I854" s="36"/>
      <c r="J854" s="36"/>
      <c r="K854" s="36"/>
      <c r="L854" s="36"/>
      <c r="M854" s="36"/>
      <c r="N854" s="13"/>
      <c r="O854" s="202"/>
      <c r="P854" s="36"/>
      <c r="Q854" s="52"/>
      <c r="R854" s="52"/>
      <c r="S854" s="52"/>
      <c r="U854" s="202"/>
      <c r="V854" s="202"/>
      <c r="W854" s="202"/>
      <c r="X854" s="202"/>
      <c r="Y854" s="13"/>
      <c r="Z854" s="36"/>
      <c r="AA854" s="13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289"/>
      <c r="AO854" s="289"/>
      <c r="AP854" s="289"/>
      <c r="AQ854" s="36"/>
      <c r="AR854" s="283"/>
      <c r="AS854" s="13"/>
      <c r="AT854" s="13"/>
      <c r="AU854" s="32"/>
      <c r="AV854" s="277"/>
      <c r="AW854" s="277"/>
      <c r="AX854" s="277"/>
      <c r="AY854" s="280"/>
      <c r="AZ854" s="268"/>
      <c r="BA854" s="268"/>
      <c r="BB854" s="13"/>
      <c r="BC854" s="36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</row>
    <row r="855" spans="1:73">
      <c r="A855" s="13"/>
      <c r="B855" s="13"/>
      <c r="C855" s="13"/>
      <c r="D855" s="13"/>
      <c r="E855" s="13"/>
      <c r="F855" s="13"/>
      <c r="G855" s="36"/>
      <c r="H855" s="36"/>
      <c r="I855" s="36"/>
      <c r="J855" s="36"/>
      <c r="K855" s="36"/>
      <c r="L855" s="36"/>
      <c r="M855" s="36"/>
      <c r="N855" s="13"/>
      <c r="O855" s="202"/>
      <c r="P855" s="36"/>
      <c r="Q855" s="52"/>
      <c r="R855" s="52"/>
      <c r="S855" s="52"/>
      <c r="U855" s="202"/>
      <c r="V855" s="202"/>
      <c r="W855" s="202"/>
      <c r="X855" s="202"/>
      <c r="Y855" s="13"/>
      <c r="Z855" s="36"/>
      <c r="AA855" s="13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289"/>
      <c r="AO855" s="289"/>
      <c r="AP855" s="289"/>
      <c r="AQ855" s="36"/>
      <c r="AR855" s="283"/>
      <c r="AS855" s="13"/>
      <c r="AT855" s="13"/>
      <c r="AU855" s="32"/>
      <c r="AV855" s="277"/>
      <c r="AW855" s="277"/>
      <c r="AX855" s="277"/>
      <c r="AY855" s="280"/>
      <c r="AZ855" s="268"/>
      <c r="BA855" s="268"/>
      <c r="BB855" s="13"/>
      <c r="BC855" s="36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</row>
    <row r="856" spans="1:73">
      <c r="A856" s="13"/>
      <c r="B856" s="13"/>
      <c r="C856" s="13"/>
      <c r="D856" s="13"/>
      <c r="E856" s="13"/>
      <c r="F856" s="13"/>
      <c r="G856" s="36"/>
      <c r="H856" s="36"/>
      <c r="I856" s="36"/>
      <c r="J856" s="36"/>
      <c r="K856" s="36"/>
      <c r="L856" s="36"/>
      <c r="M856" s="36"/>
      <c r="N856" s="13"/>
      <c r="O856" s="202"/>
      <c r="P856" s="36"/>
      <c r="Q856" s="52"/>
      <c r="R856" s="52"/>
      <c r="S856" s="52"/>
      <c r="U856" s="202"/>
      <c r="V856" s="202"/>
      <c r="W856" s="202"/>
      <c r="X856" s="202"/>
      <c r="Y856" s="13"/>
      <c r="Z856" s="36"/>
      <c r="AA856" s="13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289"/>
      <c r="AO856" s="289"/>
      <c r="AP856" s="289"/>
      <c r="AQ856" s="36"/>
      <c r="AR856" s="283"/>
      <c r="AS856" s="13"/>
      <c r="AT856" s="13"/>
      <c r="AU856" s="32"/>
      <c r="AV856" s="277"/>
      <c r="AW856" s="277"/>
      <c r="AX856" s="277"/>
      <c r="AY856" s="280"/>
      <c r="AZ856" s="268"/>
      <c r="BA856" s="268"/>
      <c r="BB856" s="13"/>
      <c r="BC856" s="36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</row>
    <row r="857" spans="1:73">
      <c r="A857" s="13"/>
      <c r="B857" s="13"/>
      <c r="C857" s="13"/>
      <c r="D857" s="13"/>
      <c r="E857" s="13"/>
      <c r="F857" s="13"/>
      <c r="G857" s="36"/>
      <c r="H857" s="36"/>
      <c r="I857" s="36"/>
      <c r="J857" s="36"/>
      <c r="K857" s="36"/>
      <c r="L857" s="36"/>
      <c r="M857" s="36"/>
      <c r="N857" s="13"/>
      <c r="O857" s="202"/>
      <c r="P857" s="36"/>
      <c r="Q857" s="52"/>
      <c r="R857" s="52"/>
      <c r="S857" s="52"/>
      <c r="U857" s="202"/>
      <c r="V857" s="202"/>
      <c r="W857" s="202"/>
      <c r="X857" s="202"/>
      <c r="Y857" s="13"/>
      <c r="Z857" s="36"/>
      <c r="AA857" s="13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289"/>
      <c r="AO857" s="289"/>
      <c r="AP857" s="289"/>
      <c r="AQ857" s="36"/>
      <c r="AR857" s="283"/>
      <c r="AS857" s="13"/>
      <c r="AT857" s="13"/>
      <c r="AU857" s="32"/>
      <c r="AV857" s="277"/>
      <c r="AW857" s="277"/>
      <c r="AX857" s="277"/>
      <c r="AY857" s="280"/>
      <c r="AZ857" s="268"/>
      <c r="BA857" s="268"/>
      <c r="BB857" s="13"/>
      <c r="BC857" s="36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</row>
    <row r="858" spans="1:73">
      <c r="A858" s="13"/>
      <c r="B858" s="13"/>
      <c r="C858" s="13"/>
      <c r="D858" s="13"/>
      <c r="E858" s="13"/>
      <c r="F858" s="13"/>
      <c r="G858" s="36"/>
      <c r="H858" s="36"/>
      <c r="I858" s="36"/>
      <c r="J858" s="36"/>
      <c r="K858" s="36"/>
      <c r="L858" s="36"/>
      <c r="M858" s="36"/>
      <c r="N858" s="13"/>
      <c r="O858" s="202"/>
      <c r="P858" s="36"/>
      <c r="Q858" s="52"/>
      <c r="R858" s="52"/>
      <c r="S858" s="52"/>
      <c r="U858" s="202"/>
      <c r="V858" s="202"/>
      <c r="W858" s="202"/>
      <c r="X858" s="202"/>
      <c r="Y858" s="13"/>
      <c r="Z858" s="36"/>
      <c r="AA858" s="13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289"/>
      <c r="AO858" s="289"/>
      <c r="AP858" s="289"/>
      <c r="AQ858" s="36"/>
      <c r="AR858" s="283"/>
      <c r="AS858" s="13"/>
      <c r="AT858" s="13"/>
      <c r="AU858" s="32"/>
      <c r="AV858" s="277"/>
      <c r="AW858" s="277"/>
      <c r="AX858" s="277"/>
      <c r="AY858" s="280"/>
      <c r="AZ858" s="268"/>
      <c r="BA858" s="268"/>
      <c r="BB858" s="13"/>
      <c r="BC858" s="36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</row>
    <row r="859" spans="1:73">
      <c r="A859" s="13"/>
      <c r="B859" s="13"/>
      <c r="C859" s="13"/>
      <c r="D859" s="13"/>
      <c r="E859" s="13"/>
      <c r="F859" s="13"/>
      <c r="G859" s="36"/>
      <c r="H859" s="36"/>
      <c r="I859" s="36"/>
      <c r="J859" s="36"/>
      <c r="K859" s="36"/>
      <c r="L859" s="36"/>
      <c r="M859" s="36"/>
      <c r="N859" s="13"/>
      <c r="O859" s="202"/>
      <c r="P859" s="36"/>
      <c r="Q859" s="52"/>
      <c r="R859" s="52"/>
      <c r="S859" s="52"/>
      <c r="U859" s="202"/>
      <c r="V859" s="202"/>
      <c r="W859" s="202"/>
      <c r="X859" s="202"/>
      <c r="Y859" s="13"/>
      <c r="Z859" s="36"/>
      <c r="AA859" s="13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289"/>
      <c r="AO859" s="289"/>
      <c r="AP859" s="289"/>
      <c r="AQ859" s="36"/>
      <c r="AR859" s="283"/>
      <c r="AS859" s="13"/>
      <c r="AT859" s="13"/>
      <c r="AU859" s="32"/>
      <c r="AV859" s="277"/>
      <c r="AW859" s="277"/>
      <c r="AX859" s="277"/>
      <c r="AY859" s="280"/>
      <c r="AZ859" s="268"/>
      <c r="BA859" s="268"/>
      <c r="BB859" s="13"/>
      <c r="BC859" s="36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</row>
    <row r="860" spans="1:73">
      <c r="A860" s="13"/>
      <c r="B860" s="13"/>
      <c r="C860" s="13"/>
      <c r="D860" s="13"/>
      <c r="E860" s="13"/>
      <c r="F860" s="13"/>
      <c r="G860" s="36"/>
      <c r="H860" s="36"/>
      <c r="I860" s="36"/>
      <c r="J860" s="36"/>
      <c r="K860" s="36"/>
      <c r="L860" s="36"/>
      <c r="M860" s="36"/>
      <c r="N860" s="13"/>
      <c r="O860" s="202"/>
      <c r="P860" s="36"/>
      <c r="Q860" s="52"/>
      <c r="R860" s="52"/>
      <c r="S860" s="52"/>
      <c r="U860" s="202"/>
      <c r="V860" s="202"/>
      <c r="W860" s="202"/>
      <c r="X860" s="202"/>
      <c r="Y860" s="13"/>
      <c r="Z860" s="36"/>
      <c r="AA860" s="13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289"/>
      <c r="AO860" s="289"/>
      <c r="AP860" s="289"/>
      <c r="AQ860" s="36"/>
      <c r="AR860" s="283"/>
      <c r="AS860" s="13"/>
      <c r="AT860" s="13"/>
      <c r="AU860" s="32"/>
      <c r="AV860" s="277"/>
      <c r="AW860" s="277"/>
      <c r="AX860" s="277"/>
      <c r="AY860" s="280"/>
      <c r="AZ860" s="268"/>
      <c r="BA860" s="268"/>
      <c r="BB860" s="13"/>
      <c r="BC860" s="36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</row>
    <row r="861" spans="1:73">
      <c r="A861" s="13"/>
      <c r="B861" s="13"/>
      <c r="C861" s="13"/>
      <c r="D861" s="13"/>
      <c r="E861" s="13"/>
      <c r="F861" s="13"/>
      <c r="G861" s="36"/>
      <c r="H861" s="36"/>
      <c r="I861" s="36"/>
      <c r="J861" s="36"/>
      <c r="K861" s="36"/>
      <c r="L861" s="36"/>
      <c r="M861" s="36"/>
      <c r="N861" s="13"/>
      <c r="O861" s="202"/>
      <c r="P861" s="36"/>
      <c r="Q861" s="52"/>
      <c r="R861" s="52"/>
      <c r="S861" s="52"/>
      <c r="U861" s="202"/>
      <c r="V861" s="202"/>
      <c r="W861" s="202"/>
      <c r="X861" s="202"/>
      <c r="Y861" s="13"/>
      <c r="Z861" s="36"/>
      <c r="AA861" s="13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289"/>
      <c r="AO861" s="289"/>
      <c r="AP861" s="289"/>
      <c r="AQ861" s="36"/>
      <c r="AR861" s="283"/>
      <c r="AS861" s="13"/>
      <c r="AT861" s="13"/>
      <c r="AU861" s="32"/>
      <c r="AV861" s="277"/>
      <c r="AW861" s="277"/>
      <c r="AX861" s="277"/>
      <c r="AY861" s="280"/>
      <c r="AZ861" s="268"/>
      <c r="BA861" s="268"/>
      <c r="BB861" s="13"/>
      <c r="BC861" s="36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</row>
    <row r="862" spans="1:73">
      <c r="A862" s="13"/>
      <c r="B862" s="13"/>
      <c r="C862" s="13"/>
      <c r="D862" s="13"/>
      <c r="E862" s="13"/>
      <c r="F862" s="13"/>
      <c r="G862" s="36"/>
      <c r="H862" s="36"/>
      <c r="I862" s="36"/>
      <c r="J862" s="36"/>
      <c r="K862" s="36"/>
      <c r="L862" s="36"/>
      <c r="M862" s="36"/>
      <c r="N862" s="13"/>
      <c r="O862" s="202"/>
      <c r="P862" s="36"/>
      <c r="Q862" s="52"/>
      <c r="R862" s="52"/>
      <c r="S862" s="52"/>
      <c r="U862" s="202"/>
      <c r="V862" s="202"/>
      <c r="W862" s="202"/>
      <c r="X862" s="202"/>
      <c r="Y862" s="13"/>
      <c r="Z862" s="36"/>
      <c r="AA862" s="13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289"/>
      <c r="AO862" s="289"/>
      <c r="AP862" s="289"/>
      <c r="AQ862" s="36"/>
      <c r="AR862" s="283"/>
      <c r="AS862" s="13"/>
      <c r="AT862" s="13"/>
      <c r="AU862" s="32"/>
      <c r="AV862" s="277"/>
      <c r="AW862" s="277"/>
      <c r="AX862" s="277"/>
      <c r="AY862" s="280"/>
      <c r="AZ862" s="268"/>
      <c r="BA862" s="268"/>
      <c r="BB862" s="13"/>
      <c r="BC862" s="36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</row>
    <row r="863" spans="1:73">
      <c r="A863" s="13"/>
      <c r="B863" s="13"/>
      <c r="C863" s="13"/>
      <c r="D863" s="13"/>
      <c r="E863" s="13"/>
      <c r="F863" s="13"/>
      <c r="G863" s="36"/>
      <c r="H863" s="36"/>
      <c r="I863" s="36"/>
      <c r="J863" s="36"/>
      <c r="K863" s="36"/>
      <c r="L863" s="36"/>
      <c r="M863" s="36"/>
      <c r="N863" s="13"/>
      <c r="O863" s="202"/>
      <c r="P863" s="36"/>
      <c r="Q863" s="52"/>
      <c r="R863" s="52"/>
      <c r="S863" s="52"/>
      <c r="U863" s="202"/>
      <c r="V863" s="202"/>
      <c r="W863" s="202"/>
      <c r="X863" s="202"/>
      <c r="Y863" s="13"/>
      <c r="Z863" s="36"/>
      <c r="AA863" s="13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289"/>
      <c r="AO863" s="289"/>
      <c r="AP863" s="289"/>
      <c r="AQ863" s="36"/>
      <c r="AR863" s="283"/>
      <c r="AS863" s="13"/>
      <c r="AT863" s="13"/>
      <c r="AU863" s="32"/>
      <c r="AV863" s="277"/>
      <c r="AW863" s="277"/>
      <c r="AX863" s="277"/>
      <c r="AY863" s="280"/>
      <c r="AZ863" s="268"/>
      <c r="BA863" s="268"/>
      <c r="BB863" s="13"/>
      <c r="BC863" s="36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</row>
    <row r="864" spans="1:73">
      <c r="A864" s="13"/>
      <c r="B864" s="13"/>
      <c r="C864" s="13"/>
      <c r="D864" s="13"/>
      <c r="E864" s="13"/>
      <c r="F864" s="13"/>
      <c r="G864" s="36"/>
      <c r="H864" s="36"/>
      <c r="I864" s="36"/>
      <c r="J864" s="36"/>
      <c r="K864" s="36"/>
      <c r="L864" s="36"/>
      <c r="M864" s="36"/>
      <c r="N864" s="13"/>
      <c r="O864" s="202"/>
      <c r="P864" s="36"/>
      <c r="Q864" s="52"/>
      <c r="R864" s="52"/>
      <c r="S864" s="52"/>
      <c r="U864" s="202"/>
      <c r="V864" s="202"/>
      <c r="W864" s="202"/>
      <c r="X864" s="202"/>
      <c r="Y864" s="13"/>
      <c r="Z864" s="36"/>
      <c r="AA864" s="13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289"/>
      <c r="AO864" s="289"/>
      <c r="AP864" s="289"/>
      <c r="AQ864" s="36"/>
      <c r="AR864" s="283"/>
      <c r="AS864" s="13"/>
      <c r="AT864" s="13"/>
      <c r="AU864" s="32"/>
      <c r="AV864" s="277"/>
      <c r="AW864" s="277"/>
      <c r="AX864" s="277"/>
      <c r="AY864" s="280"/>
      <c r="AZ864" s="268"/>
      <c r="BA864" s="268"/>
      <c r="BB864" s="13"/>
      <c r="BC864" s="36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</row>
    <row r="865" spans="1:73">
      <c r="A865" s="13"/>
      <c r="B865" s="13"/>
      <c r="C865" s="13"/>
      <c r="D865" s="13"/>
      <c r="E865" s="13"/>
      <c r="F865" s="13"/>
      <c r="G865" s="36"/>
      <c r="H865" s="36"/>
      <c r="I865" s="36"/>
      <c r="J865" s="36"/>
      <c r="K865" s="36"/>
      <c r="L865" s="36"/>
      <c r="M865" s="36"/>
      <c r="N865" s="13"/>
      <c r="O865" s="202"/>
      <c r="P865" s="36"/>
      <c r="Q865" s="52"/>
      <c r="R865" s="52"/>
      <c r="S865" s="52"/>
      <c r="U865" s="202"/>
      <c r="V865" s="202"/>
      <c r="W865" s="202"/>
      <c r="X865" s="202"/>
      <c r="Y865" s="13"/>
      <c r="Z865" s="36"/>
      <c r="AA865" s="13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289"/>
      <c r="AO865" s="289"/>
      <c r="AP865" s="289"/>
      <c r="AQ865" s="36"/>
      <c r="AR865" s="283"/>
      <c r="AS865" s="13"/>
      <c r="AT865" s="13"/>
      <c r="AU865" s="32"/>
      <c r="AV865" s="277"/>
      <c r="AW865" s="277"/>
      <c r="AX865" s="277"/>
      <c r="AY865" s="280"/>
      <c r="AZ865" s="268"/>
      <c r="BA865" s="268"/>
      <c r="BB865" s="13"/>
      <c r="BC865" s="36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</row>
    <row r="866" spans="1:73">
      <c r="A866" s="13"/>
      <c r="B866" s="13"/>
      <c r="C866" s="13"/>
      <c r="D866" s="13"/>
      <c r="E866" s="13"/>
      <c r="F866" s="13"/>
      <c r="G866" s="36"/>
      <c r="H866" s="36"/>
      <c r="I866" s="36"/>
      <c r="J866" s="36"/>
      <c r="K866" s="36"/>
      <c r="L866" s="36"/>
      <c r="M866" s="36"/>
      <c r="N866" s="13"/>
      <c r="O866" s="202"/>
      <c r="P866" s="36"/>
      <c r="Q866" s="52"/>
      <c r="R866" s="52"/>
      <c r="S866" s="52"/>
      <c r="U866" s="202"/>
      <c r="V866" s="202"/>
      <c r="W866" s="202"/>
      <c r="X866" s="202"/>
      <c r="Y866" s="13"/>
      <c r="Z866" s="36"/>
      <c r="AA866" s="13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289"/>
      <c r="AO866" s="289"/>
      <c r="AP866" s="289"/>
      <c r="AQ866" s="36"/>
      <c r="AR866" s="283"/>
      <c r="AS866" s="13"/>
      <c r="AT866" s="13"/>
      <c r="AU866" s="32"/>
      <c r="AV866" s="277"/>
      <c r="AW866" s="277"/>
      <c r="AX866" s="277"/>
      <c r="AY866" s="280"/>
      <c r="AZ866" s="268"/>
      <c r="BA866" s="268"/>
      <c r="BB866" s="13"/>
      <c r="BC866" s="36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</row>
    <row r="867" spans="1:73">
      <c r="A867" s="13"/>
      <c r="B867" s="13"/>
      <c r="C867" s="13"/>
      <c r="D867" s="13"/>
      <c r="E867" s="13"/>
      <c r="F867" s="13"/>
      <c r="G867" s="36"/>
      <c r="H867" s="36"/>
      <c r="I867" s="36"/>
      <c r="J867" s="36"/>
      <c r="K867" s="36"/>
      <c r="L867" s="36"/>
      <c r="M867" s="36"/>
      <c r="N867" s="13"/>
      <c r="O867" s="202"/>
      <c r="P867" s="36"/>
      <c r="Q867" s="52"/>
      <c r="R867" s="52"/>
      <c r="S867" s="52"/>
      <c r="U867" s="202"/>
      <c r="V867" s="202"/>
      <c r="W867" s="202"/>
      <c r="X867" s="202"/>
      <c r="Y867" s="13"/>
      <c r="Z867" s="36"/>
      <c r="AA867" s="13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289"/>
      <c r="AO867" s="289"/>
      <c r="AP867" s="289"/>
      <c r="AQ867" s="36"/>
      <c r="AR867" s="283"/>
      <c r="AS867" s="13"/>
      <c r="AT867" s="13"/>
      <c r="AU867" s="32"/>
      <c r="AV867" s="277"/>
      <c r="AW867" s="277"/>
      <c r="AX867" s="277"/>
      <c r="AY867" s="280"/>
      <c r="AZ867" s="268"/>
      <c r="BA867" s="268"/>
      <c r="BB867" s="13"/>
      <c r="BC867" s="36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</row>
    <row r="868" spans="1:73">
      <c r="A868" s="13"/>
      <c r="B868" s="13"/>
      <c r="C868" s="13"/>
      <c r="D868" s="13"/>
      <c r="E868" s="13"/>
      <c r="F868" s="13"/>
      <c r="G868" s="36"/>
      <c r="H868" s="36"/>
      <c r="I868" s="36"/>
      <c r="J868" s="36"/>
      <c r="K868" s="36"/>
      <c r="L868" s="36"/>
      <c r="M868" s="36"/>
      <c r="N868" s="13"/>
      <c r="O868" s="202"/>
      <c r="P868" s="36"/>
      <c r="Q868" s="52"/>
      <c r="R868" s="52"/>
      <c r="S868" s="52"/>
      <c r="U868" s="202"/>
      <c r="V868" s="202"/>
      <c r="W868" s="202"/>
      <c r="X868" s="202"/>
      <c r="Y868" s="13"/>
      <c r="Z868" s="36"/>
      <c r="AA868" s="13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289"/>
      <c r="AO868" s="289"/>
      <c r="AP868" s="289"/>
      <c r="AQ868" s="36"/>
      <c r="AR868" s="283"/>
      <c r="AS868" s="13"/>
      <c r="AT868" s="13"/>
      <c r="AU868" s="32"/>
      <c r="AV868" s="277"/>
      <c r="AW868" s="277"/>
      <c r="AX868" s="277"/>
      <c r="AY868" s="280"/>
      <c r="AZ868" s="268"/>
      <c r="BA868" s="268"/>
      <c r="BB868" s="13"/>
      <c r="BC868" s="36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</row>
    <row r="869" spans="1:73">
      <c r="A869" s="13"/>
      <c r="B869" s="13"/>
      <c r="C869" s="13"/>
      <c r="D869" s="13"/>
      <c r="E869" s="13"/>
      <c r="F869" s="13"/>
      <c r="G869" s="36"/>
      <c r="H869" s="36"/>
      <c r="I869" s="36"/>
      <c r="J869" s="36"/>
      <c r="K869" s="36"/>
      <c r="L869" s="36"/>
      <c r="M869" s="36"/>
      <c r="N869" s="13"/>
      <c r="O869" s="202"/>
      <c r="P869" s="36"/>
      <c r="Q869" s="52"/>
      <c r="R869" s="52"/>
      <c r="S869" s="52"/>
      <c r="U869" s="202"/>
      <c r="V869" s="202"/>
      <c r="W869" s="202"/>
      <c r="X869" s="202"/>
      <c r="Y869" s="13"/>
      <c r="Z869" s="36"/>
      <c r="AA869" s="13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289"/>
      <c r="AO869" s="289"/>
      <c r="AP869" s="289"/>
      <c r="AQ869" s="36"/>
      <c r="AR869" s="283"/>
      <c r="AS869" s="13"/>
      <c r="AT869" s="13"/>
      <c r="AU869" s="32"/>
      <c r="AV869" s="277"/>
      <c r="AW869" s="277"/>
      <c r="AX869" s="277"/>
      <c r="AY869" s="280"/>
      <c r="AZ869" s="268"/>
      <c r="BA869" s="268"/>
      <c r="BB869" s="13"/>
      <c r="BC869" s="36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</row>
    <row r="870" spans="1:73">
      <c r="A870" s="13"/>
      <c r="B870" s="13"/>
      <c r="C870" s="13"/>
      <c r="D870" s="13"/>
      <c r="E870" s="13"/>
      <c r="F870" s="13"/>
      <c r="G870" s="36"/>
      <c r="H870" s="36"/>
      <c r="I870" s="36"/>
      <c r="J870" s="36"/>
      <c r="K870" s="36"/>
      <c r="L870" s="36"/>
      <c r="M870" s="36"/>
      <c r="N870" s="13"/>
      <c r="O870" s="202"/>
      <c r="P870" s="36"/>
      <c r="Q870" s="52"/>
      <c r="R870" s="52"/>
      <c r="S870" s="52"/>
      <c r="U870" s="202"/>
      <c r="V870" s="202"/>
      <c r="W870" s="202"/>
      <c r="X870" s="202"/>
      <c r="Y870" s="13"/>
      <c r="Z870" s="36"/>
      <c r="AA870" s="13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289"/>
      <c r="AO870" s="289"/>
      <c r="AP870" s="289"/>
      <c r="AQ870" s="36"/>
      <c r="AR870" s="283"/>
      <c r="AS870" s="13"/>
      <c r="AT870" s="13"/>
      <c r="AU870" s="32"/>
      <c r="AV870" s="277"/>
      <c r="AW870" s="277"/>
      <c r="AX870" s="277"/>
      <c r="AY870" s="280"/>
      <c r="AZ870" s="268"/>
      <c r="BA870" s="268"/>
      <c r="BB870" s="13"/>
      <c r="BC870" s="36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</row>
    <row r="871" spans="1:73">
      <c r="A871" s="13"/>
      <c r="B871" s="13"/>
      <c r="C871" s="13"/>
      <c r="D871" s="13"/>
      <c r="E871" s="13"/>
      <c r="F871" s="13"/>
      <c r="G871" s="36"/>
      <c r="H871" s="36"/>
      <c r="I871" s="36"/>
      <c r="J871" s="36"/>
      <c r="K871" s="36"/>
      <c r="L871" s="36"/>
      <c r="M871" s="36"/>
      <c r="N871" s="13"/>
      <c r="O871" s="202"/>
      <c r="P871" s="36"/>
      <c r="Q871" s="52"/>
      <c r="R871" s="52"/>
      <c r="S871" s="52"/>
      <c r="U871" s="202"/>
      <c r="V871" s="202"/>
      <c r="W871" s="202"/>
      <c r="X871" s="202"/>
      <c r="Y871" s="13"/>
      <c r="Z871" s="36"/>
      <c r="AA871" s="13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289"/>
      <c r="AO871" s="289"/>
      <c r="AP871" s="289"/>
      <c r="AQ871" s="36"/>
      <c r="AR871" s="283"/>
      <c r="AS871" s="13"/>
      <c r="AT871" s="13"/>
      <c r="AU871" s="32"/>
      <c r="AV871" s="277"/>
      <c r="AW871" s="277"/>
      <c r="AX871" s="277"/>
      <c r="AY871" s="280"/>
      <c r="AZ871" s="268"/>
      <c r="BA871" s="268"/>
      <c r="BB871" s="13"/>
      <c r="BC871" s="36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</row>
    <row r="872" spans="1:73">
      <c r="A872" s="13"/>
      <c r="B872" s="13"/>
      <c r="C872" s="13"/>
      <c r="D872" s="13"/>
      <c r="E872" s="13"/>
      <c r="F872" s="13"/>
      <c r="G872" s="36"/>
      <c r="H872" s="36"/>
      <c r="I872" s="36"/>
      <c r="J872" s="36"/>
      <c r="K872" s="36"/>
      <c r="L872" s="36"/>
      <c r="M872" s="36"/>
      <c r="N872" s="13"/>
      <c r="O872" s="202"/>
      <c r="P872" s="36"/>
      <c r="Q872" s="52"/>
      <c r="R872" s="52"/>
      <c r="S872" s="52"/>
      <c r="U872" s="202"/>
      <c r="V872" s="202"/>
      <c r="W872" s="202"/>
      <c r="X872" s="202"/>
      <c r="Y872" s="13"/>
      <c r="Z872" s="36"/>
      <c r="AA872" s="13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289"/>
      <c r="AO872" s="289"/>
      <c r="AP872" s="289"/>
      <c r="AQ872" s="36"/>
      <c r="AR872" s="283"/>
      <c r="AS872" s="13"/>
      <c r="AT872" s="13"/>
      <c r="AU872" s="32"/>
      <c r="AV872" s="277"/>
      <c r="AW872" s="277"/>
      <c r="AX872" s="277"/>
      <c r="AY872" s="280"/>
      <c r="AZ872" s="268"/>
      <c r="BA872" s="268"/>
      <c r="BB872" s="13"/>
      <c r="BC872" s="36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</row>
    <row r="873" spans="1:73">
      <c r="A873" s="13"/>
      <c r="B873" s="13"/>
      <c r="C873" s="13"/>
      <c r="D873" s="13"/>
      <c r="E873" s="13"/>
      <c r="F873" s="13"/>
      <c r="G873" s="36"/>
      <c r="H873" s="36"/>
      <c r="I873" s="36"/>
      <c r="J873" s="36"/>
      <c r="K873" s="36"/>
      <c r="L873" s="36"/>
      <c r="M873" s="36"/>
      <c r="N873" s="13"/>
      <c r="O873" s="202"/>
      <c r="P873" s="36"/>
      <c r="Q873" s="52"/>
      <c r="R873" s="52"/>
      <c r="S873" s="52"/>
      <c r="U873" s="202"/>
      <c r="V873" s="202"/>
      <c r="W873" s="202"/>
      <c r="X873" s="202"/>
      <c r="Y873" s="13"/>
      <c r="Z873" s="36"/>
      <c r="AA873" s="13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289"/>
      <c r="AO873" s="289"/>
      <c r="AP873" s="289"/>
      <c r="AQ873" s="36"/>
      <c r="AR873" s="283"/>
      <c r="AS873" s="13"/>
      <c r="AT873" s="13"/>
      <c r="AU873" s="32"/>
      <c r="AV873" s="277"/>
      <c r="AW873" s="277"/>
      <c r="AX873" s="277"/>
      <c r="AY873" s="280"/>
      <c r="AZ873" s="268"/>
      <c r="BA873" s="268"/>
      <c r="BB873" s="13"/>
      <c r="BC873" s="36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</row>
    <row r="874" spans="1:73">
      <c r="A874" s="13"/>
      <c r="B874" s="13"/>
      <c r="C874" s="13"/>
      <c r="D874" s="13"/>
      <c r="E874" s="13"/>
      <c r="F874" s="13"/>
      <c r="G874" s="36"/>
      <c r="H874" s="36"/>
      <c r="I874" s="36"/>
      <c r="J874" s="36"/>
      <c r="K874" s="36"/>
      <c r="L874" s="36"/>
      <c r="M874" s="36"/>
      <c r="N874" s="13"/>
      <c r="O874" s="202"/>
      <c r="P874" s="36"/>
      <c r="Q874" s="52"/>
      <c r="R874" s="52"/>
      <c r="S874" s="52"/>
      <c r="U874" s="202"/>
      <c r="V874" s="202"/>
      <c r="W874" s="202"/>
      <c r="X874" s="202"/>
      <c r="Y874" s="13"/>
      <c r="Z874" s="36"/>
      <c r="AA874" s="13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289"/>
      <c r="AO874" s="289"/>
      <c r="AP874" s="289"/>
      <c r="AQ874" s="36"/>
      <c r="AR874" s="283"/>
      <c r="AS874" s="13"/>
      <c r="AT874" s="13"/>
      <c r="AU874" s="32"/>
      <c r="AV874" s="277"/>
      <c r="AW874" s="277"/>
      <c r="AX874" s="277"/>
      <c r="AY874" s="280"/>
      <c r="AZ874" s="268"/>
      <c r="BA874" s="268"/>
      <c r="BB874" s="13"/>
      <c r="BC874" s="36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</row>
    <row r="875" spans="1:73">
      <c r="A875" s="13"/>
      <c r="B875" s="13"/>
      <c r="C875" s="13"/>
      <c r="D875" s="13"/>
      <c r="E875" s="13"/>
      <c r="F875" s="13"/>
      <c r="G875" s="36"/>
      <c r="H875" s="36"/>
      <c r="I875" s="36"/>
      <c r="J875" s="36"/>
      <c r="K875" s="36"/>
      <c r="L875" s="36"/>
      <c r="M875" s="36"/>
      <c r="N875" s="13"/>
      <c r="O875" s="202"/>
      <c r="P875" s="36"/>
      <c r="Q875" s="52"/>
      <c r="R875" s="52"/>
      <c r="S875" s="52"/>
      <c r="U875" s="202"/>
      <c r="V875" s="202"/>
      <c r="W875" s="202"/>
      <c r="X875" s="202"/>
      <c r="Y875" s="13"/>
      <c r="Z875" s="36"/>
      <c r="AA875" s="13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289"/>
      <c r="AO875" s="289"/>
      <c r="AP875" s="289"/>
      <c r="AQ875" s="36"/>
      <c r="AR875" s="283"/>
      <c r="AS875" s="13"/>
      <c r="AT875" s="13"/>
      <c r="AU875" s="32"/>
      <c r="AV875" s="277"/>
      <c r="AW875" s="277"/>
      <c r="AX875" s="277"/>
      <c r="AY875" s="280"/>
      <c r="AZ875" s="268"/>
      <c r="BA875" s="268"/>
      <c r="BB875" s="13"/>
      <c r="BC875" s="36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</row>
    <row r="876" spans="1:73">
      <c r="A876" s="13"/>
      <c r="B876" s="13"/>
      <c r="C876" s="13"/>
      <c r="D876" s="13"/>
      <c r="E876" s="13"/>
      <c r="F876" s="13"/>
      <c r="G876" s="36"/>
      <c r="H876" s="36"/>
      <c r="I876" s="36"/>
      <c r="J876" s="36"/>
      <c r="K876" s="36"/>
      <c r="L876" s="36"/>
      <c r="M876" s="36"/>
      <c r="N876" s="13"/>
      <c r="O876" s="202"/>
      <c r="P876" s="36"/>
      <c r="Q876" s="52"/>
      <c r="R876" s="52"/>
      <c r="S876" s="52"/>
      <c r="U876" s="202"/>
      <c r="V876" s="202"/>
      <c r="W876" s="202"/>
      <c r="X876" s="202"/>
      <c r="Y876" s="13"/>
      <c r="Z876" s="36"/>
      <c r="AA876" s="13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289"/>
      <c r="AO876" s="289"/>
      <c r="AP876" s="289"/>
      <c r="AQ876" s="36"/>
      <c r="AR876" s="283"/>
      <c r="AS876" s="13"/>
      <c r="AT876" s="13"/>
      <c r="AU876" s="32"/>
      <c r="AV876" s="277"/>
      <c r="AW876" s="277"/>
      <c r="AX876" s="277"/>
      <c r="AY876" s="280"/>
      <c r="AZ876" s="268"/>
      <c r="BA876" s="268"/>
      <c r="BB876" s="13"/>
      <c r="BC876" s="36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</row>
    <row r="877" spans="1:73">
      <c r="A877" s="13"/>
      <c r="B877" s="13"/>
      <c r="C877" s="13"/>
      <c r="D877" s="13"/>
      <c r="E877" s="13"/>
      <c r="F877" s="13"/>
      <c r="G877" s="36"/>
      <c r="H877" s="36"/>
      <c r="I877" s="36"/>
      <c r="J877" s="36"/>
      <c r="K877" s="36"/>
      <c r="L877" s="36"/>
      <c r="M877" s="36"/>
      <c r="N877" s="13"/>
      <c r="O877" s="202"/>
      <c r="P877" s="36"/>
      <c r="Q877" s="52"/>
      <c r="R877" s="52"/>
      <c r="S877" s="52"/>
      <c r="U877" s="202"/>
      <c r="V877" s="202"/>
      <c r="W877" s="202"/>
      <c r="X877" s="202"/>
      <c r="Y877" s="13"/>
      <c r="Z877" s="36"/>
      <c r="AA877" s="13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289"/>
      <c r="AO877" s="289"/>
      <c r="AP877" s="289"/>
      <c r="AQ877" s="36"/>
      <c r="AR877" s="283"/>
      <c r="AS877" s="13"/>
      <c r="AT877" s="13"/>
      <c r="AU877" s="32"/>
      <c r="AV877" s="277"/>
      <c r="AW877" s="277"/>
      <c r="AX877" s="277"/>
      <c r="AY877" s="280"/>
      <c r="AZ877" s="268"/>
      <c r="BA877" s="268"/>
      <c r="BB877" s="13"/>
      <c r="BC877" s="36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</row>
    <row r="878" spans="1:73">
      <c r="A878" s="13"/>
      <c r="B878" s="13"/>
      <c r="C878" s="13"/>
      <c r="D878" s="13"/>
      <c r="E878" s="13"/>
      <c r="F878" s="13"/>
      <c r="G878" s="36"/>
      <c r="H878" s="36"/>
      <c r="I878" s="36"/>
      <c r="J878" s="36"/>
      <c r="K878" s="36"/>
      <c r="L878" s="36"/>
      <c r="M878" s="36"/>
      <c r="N878" s="13"/>
      <c r="O878" s="202"/>
      <c r="P878" s="36"/>
      <c r="Q878" s="52"/>
      <c r="R878" s="52"/>
      <c r="S878" s="52"/>
      <c r="U878" s="202"/>
      <c r="V878" s="202"/>
      <c r="W878" s="202"/>
      <c r="X878" s="202"/>
      <c r="Y878" s="13"/>
      <c r="Z878" s="36"/>
      <c r="AA878" s="13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289"/>
      <c r="AO878" s="289"/>
      <c r="AP878" s="289"/>
      <c r="AQ878" s="36"/>
      <c r="AR878" s="283"/>
      <c r="AS878" s="13"/>
      <c r="AT878" s="13"/>
      <c r="AU878" s="32"/>
      <c r="AV878" s="277"/>
      <c r="AW878" s="277"/>
      <c r="AX878" s="277"/>
      <c r="AY878" s="280"/>
      <c r="AZ878" s="268"/>
      <c r="BA878" s="268"/>
      <c r="BB878" s="13"/>
      <c r="BC878" s="36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</row>
    <row r="879" spans="1:73">
      <c r="A879" s="13"/>
      <c r="B879" s="13"/>
      <c r="C879" s="13"/>
      <c r="D879" s="13"/>
      <c r="E879" s="13"/>
      <c r="F879" s="13"/>
      <c r="G879" s="36"/>
      <c r="H879" s="36"/>
      <c r="I879" s="36"/>
      <c r="J879" s="36"/>
      <c r="K879" s="36"/>
      <c r="L879" s="36"/>
      <c r="M879" s="36"/>
      <c r="N879" s="13"/>
      <c r="O879" s="202"/>
      <c r="P879" s="36"/>
      <c r="Q879" s="52"/>
      <c r="R879" s="52"/>
      <c r="S879" s="52"/>
      <c r="U879" s="202"/>
      <c r="V879" s="202"/>
      <c r="W879" s="202"/>
      <c r="X879" s="202"/>
      <c r="Y879" s="13"/>
      <c r="Z879" s="36"/>
      <c r="AA879" s="13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289"/>
      <c r="AO879" s="289"/>
      <c r="AP879" s="289"/>
      <c r="AQ879" s="36"/>
      <c r="AR879" s="283"/>
      <c r="AS879" s="13"/>
      <c r="AT879" s="13"/>
      <c r="AU879" s="32"/>
      <c r="AV879" s="277"/>
      <c r="AW879" s="277"/>
      <c r="AX879" s="277"/>
      <c r="AY879" s="280"/>
      <c r="AZ879" s="268"/>
      <c r="BA879" s="268"/>
      <c r="BB879" s="13"/>
      <c r="BC879" s="36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</row>
    <row r="880" spans="1:73">
      <c r="A880" s="13"/>
      <c r="B880" s="13"/>
      <c r="C880" s="13"/>
      <c r="D880" s="13"/>
      <c r="E880" s="13"/>
      <c r="F880" s="13"/>
      <c r="G880" s="36"/>
      <c r="H880" s="36"/>
      <c r="I880" s="36"/>
      <c r="J880" s="36"/>
      <c r="K880" s="36"/>
      <c r="L880" s="36"/>
      <c r="M880" s="36"/>
      <c r="N880" s="13"/>
      <c r="O880" s="202"/>
      <c r="P880" s="36"/>
      <c r="Q880" s="52"/>
      <c r="R880" s="52"/>
      <c r="S880" s="52"/>
      <c r="U880" s="202"/>
      <c r="V880" s="202"/>
      <c r="W880" s="202"/>
      <c r="X880" s="202"/>
      <c r="Y880" s="13"/>
      <c r="Z880" s="36"/>
      <c r="AA880" s="13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289"/>
      <c r="AO880" s="289"/>
      <c r="AP880" s="289"/>
      <c r="AQ880" s="36"/>
      <c r="AR880" s="283"/>
      <c r="AS880" s="13"/>
      <c r="AT880" s="13"/>
      <c r="AU880" s="32"/>
      <c r="AV880" s="277"/>
      <c r="AW880" s="277"/>
      <c r="AX880" s="277"/>
      <c r="AY880" s="280"/>
      <c r="AZ880" s="268"/>
      <c r="BA880" s="268"/>
      <c r="BB880" s="13"/>
      <c r="BC880" s="36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</row>
    <row r="881" spans="1:73">
      <c r="A881" s="13"/>
      <c r="B881" s="13"/>
      <c r="C881" s="13"/>
      <c r="D881" s="13"/>
      <c r="E881" s="13"/>
      <c r="F881" s="13"/>
      <c r="G881" s="36"/>
      <c r="H881" s="36"/>
      <c r="I881" s="36"/>
      <c r="J881" s="36"/>
      <c r="K881" s="36"/>
      <c r="L881" s="36"/>
      <c r="M881" s="36"/>
      <c r="N881" s="13"/>
      <c r="O881" s="202"/>
      <c r="P881" s="36"/>
      <c r="Q881" s="52"/>
      <c r="R881" s="52"/>
      <c r="S881" s="52"/>
      <c r="U881" s="202"/>
      <c r="V881" s="202"/>
      <c r="W881" s="202"/>
      <c r="X881" s="202"/>
      <c r="Y881" s="13"/>
      <c r="Z881" s="36"/>
      <c r="AA881" s="13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289"/>
      <c r="AO881" s="289"/>
      <c r="AP881" s="289"/>
      <c r="AQ881" s="36"/>
      <c r="AR881" s="283"/>
      <c r="AS881" s="13"/>
      <c r="AT881" s="13"/>
      <c r="AU881" s="32"/>
      <c r="AV881" s="277"/>
      <c r="AW881" s="277"/>
      <c r="AX881" s="277"/>
      <c r="AY881" s="280"/>
      <c r="AZ881" s="268"/>
      <c r="BA881" s="268"/>
      <c r="BB881" s="13"/>
      <c r="BC881" s="36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</row>
    <row r="882" spans="1:73">
      <c r="A882" s="13"/>
      <c r="B882" s="13"/>
      <c r="C882" s="13"/>
      <c r="D882" s="13"/>
      <c r="E882" s="13"/>
      <c r="F882" s="13"/>
      <c r="G882" s="36"/>
      <c r="H882" s="36"/>
      <c r="I882" s="36"/>
      <c r="J882" s="36"/>
      <c r="K882" s="36"/>
      <c r="L882" s="36"/>
      <c r="M882" s="36"/>
      <c r="N882" s="13"/>
      <c r="O882" s="202"/>
      <c r="P882" s="36"/>
      <c r="Q882" s="52"/>
      <c r="R882" s="52"/>
      <c r="S882" s="52"/>
      <c r="U882" s="202"/>
      <c r="V882" s="202"/>
      <c r="W882" s="202"/>
      <c r="X882" s="202"/>
      <c r="Y882" s="13"/>
      <c r="Z882" s="36"/>
      <c r="AA882" s="13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289"/>
      <c r="AO882" s="289"/>
      <c r="AP882" s="289"/>
      <c r="AQ882" s="36"/>
      <c r="AR882" s="283"/>
      <c r="AS882" s="13"/>
      <c r="AT882" s="13"/>
      <c r="AU882" s="32"/>
      <c r="AV882" s="277"/>
      <c r="AW882" s="277"/>
      <c r="AX882" s="277"/>
      <c r="AY882" s="280"/>
      <c r="AZ882" s="268"/>
      <c r="BA882" s="268"/>
      <c r="BB882" s="13"/>
      <c r="BC882" s="36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</row>
    <row r="883" spans="1:73">
      <c r="A883" s="13"/>
      <c r="B883" s="13"/>
      <c r="C883" s="13"/>
      <c r="D883" s="13"/>
      <c r="E883" s="13"/>
      <c r="F883" s="13"/>
      <c r="G883" s="36"/>
      <c r="H883" s="36"/>
      <c r="I883" s="36"/>
      <c r="J883" s="36"/>
      <c r="K883" s="36"/>
      <c r="L883" s="36"/>
      <c r="M883" s="36"/>
      <c r="N883" s="13"/>
      <c r="O883" s="202"/>
      <c r="P883" s="36"/>
      <c r="Q883" s="52"/>
      <c r="R883" s="52"/>
      <c r="S883" s="52"/>
      <c r="U883" s="202"/>
      <c r="V883" s="202"/>
      <c r="W883" s="202"/>
      <c r="X883" s="202"/>
      <c r="Y883" s="13"/>
      <c r="Z883" s="36"/>
      <c r="AA883" s="13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289"/>
      <c r="AO883" s="289"/>
      <c r="AP883" s="289"/>
      <c r="AQ883" s="36"/>
      <c r="AR883" s="283"/>
      <c r="AS883" s="13"/>
      <c r="AT883" s="13"/>
      <c r="AU883" s="32"/>
      <c r="AV883" s="277"/>
      <c r="AW883" s="277"/>
      <c r="AX883" s="277"/>
      <c r="AY883" s="280"/>
      <c r="AZ883" s="268"/>
      <c r="BA883" s="268"/>
      <c r="BB883" s="13"/>
      <c r="BC883" s="36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</row>
    <row r="884" spans="1:73">
      <c r="A884" s="13"/>
      <c r="B884" s="13"/>
      <c r="C884" s="13"/>
      <c r="D884" s="13"/>
      <c r="E884" s="13"/>
      <c r="F884" s="13"/>
      <c r="G884" s="36"/>
      <c r="H884" s="36"/>
      <c r="I884" s="36"/>
      <c r="J884" s="36"/>
      <c r="K884" s="36"/>
      <c r="L884" s="36"/>
      <c r="M884" s="36"/>
      <c r="N884" s="13"/>
      <c r="O884" s="202"/>
      <c r="P884" s="36"/>
      <c r="Q884" s="52"/>
      <c r="R884" s="52"/>
      <c r="S884" s="52"/>
      <c r="U884" s="202"/>
      <c r="V884" s="202"/>
      <c r="W884" s="202"/>
      <c r="X884" s="202"/>
      <c r="Y884" s="13"/>
      <c r="Z884" s="36"/>
      <c r="AA884" s="13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289"/>
      <c r="AO884" s="289"/>
      <c r="AP884" s="289"/>
      <c r="AQ884" s="36"/>
      <c r="AR884" s="283"/>
      <c r="AS884" s="13"/>
      <c r="AT884" s="13"/>
      <c r="AU884" s="32"/>
      <c r="AV884" s="277"/>
      <c r="AW884" s="277"/>
      <c r="AX884" s="277"/>
      <c r="AY884" s="280"/>
      <c r="AZ884" s="268"/>
      <c r="BA884" s="268"/>
      <c r="BB884" s="13"/>
      <c r="BC884" s="36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</row>
    <row r="885" spans="1:73">
      <c r="A885" s="13"/>
      <c r="B885" s="13"/>
      <c r="C885" s="13"/>
      <c r="D885" s="13"/>
      <c r="E885" s="13"/>
      <c r="F885" s="13"/>
      <c r="G885" s="36"/>
      <c r="H885" s="36"/>
      <c r="I885" s="36"/>
      <c r="J885" s="36"/>
      <c r="K885" s="36"/>
      <c r="L885" s="36"/>
      <c r="M885" s="36"/>
      <c r="N885" s="13"/>
      <c r="O885" s="202"/>
      <c r="P885" s="36"/>
      <c r="Q885" s="52"/>
      <c r="R885" s="52"/>
      <c r="S885" s="52"/>
      <c r="U885" s="202"/>
      <c r="V885" s="202"/>
      <c r="W885" s="202"/>
      <c r="X885" s="202"/>
      <c r="Y885" s="13"/>
      <c r="Z885" s="36"/>
      <c r="AA885" s="13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289"/>
      <c r="AO885" s="289"/>
      <c r="AP885" s="289"/>
      <c r="AQ885" s="36"/>
      <c r="AR885" s="283"/>
      <c r="AS885" s="13"/>
      <c r="AT885" s="13"/>
      <c r="AU885" s="32"/>
      <c r="AV885" s="277"/>
      <c r="AW885" s="277"/>
      <c r="AX885" s="277"/>
      <c r="AY885" s="280"/>
      <c r="AZ885" s="268"/>
      <c r="BA885" s="268"/>
      <c r="BB885" s="13"/>
      <c r="BC885" s="36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</row>
    <row r="886" spans="1:73">
      <c r="A886" s="13"/>
      <c r="B886" s="13"/>
      <c r="C886" s="13"/>
      <c r="D886" s="13"/>
      <c r="E886" s="13"/>
      <c r="F886" s="13"/>
      <c r="G886" s="36"/>
      <c r="H886" s="36"/>
      <c r="I886" s="36"/>
      <c r="J886" s="36"/>
      <c r="K886" s="36"/>
      <c r="L886" s="36"/>
      <c r="M886" s="36"/>
      <c r="N886" s="13"/>
      <c r="O886" s="202"/>
      <c r="P886" s="36"/>
      <c r="Q886" s="52"/>
      <c r="R886" s="52"/>
      <c r="S886" s="52"/>
      <c r="U886" s="202"/>
      <c r="V886" s="202"/>
      <c r="W886" s="202"/>
      <c r="X886" s="202"/>
      <c r="Y886" s="13"/>
      <c r="Z886" s="36"/>
      <c r="AA886" s="13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289"/>
      <c r="AO886" s="289"/>
      <c r="AP886" s="289"/>
      <c r="AQ886" s="36"/>
      <c r="AR886" s="283"/>
      <c r="AS886" s="13"/>
      <c r="AT886" s="13"/>
      <c r="AU886" s="32"/>
      <c r="AV886" s="277"/>
      <c r="AW886" s="277"/>
      <c r="AX886" s="277"/>
      <c r="AY886" s="280"/>
      <c r="AZ886" s="268"/>
      <c r="BA886" s="268"/>
      <c r="BB886" s="13"/>
      <c r="BC886" s="36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</row>
    <row r="887" spans="1:73">
      <c r="A887" s="13"/>
      <c r="B887" s="13"/>
      <c r="C887" s="13"/>
      <c r="D887" s="13"/>
      <c r="E887" s="13"/>
      <c r="F887" s="13"/>
      <c r="G887" s="36"/>
      <c r="H887" s="36"/>
      <c r="I887" s="36"/>
      <c r="J887" s="36"/>
      <c r="K887" s="36"/>
      <c r="L887" s="36"/>
      <c r="M887" s="36"/>
      <c r="N887" s="13"/>
      <c r="O887" s="202"/>
      <c r="P887" s="36"/>
      <c r="Q887" s="52"/>
      <c r="R887" s="52"/>
      <c r="S887" s="52"/>
      <c r="U887" s="202"/>
      <c r="V887" s="202"/>
      <c r="W887" s="202"/>
      <c r="X887" s="202"/>
      <c r="Y887" s="13"/>
      <c r="Z887" s="36"/>
      <c r="AA887" s="13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289"/>
      <c r="AO887" s="289"/>
      <c r="AP887" s="289"/>
      <c r="AQ887" s="36"/>
      <c r="AR887" s="283"/>
      <c r="AS887" s="13"/>
      <c r="AT887" s="13"/>
      <c r="AU887" s="32"/>
      <c r="AV887" s="277"/>
      <c r="AW887" s="277"/>
      <c r="AX887" s="277"/>
      <c r="AY887" s="280"/>
      <c r="AZ887" s="268"/>
      <c r="BA887" s="268"/>
      <c r="BB887" s="13"/>
      <c r="BC887" s="36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</row>
    <row r="888" spans="1:73">
      <c r="A888" s="13"/>
      <c r="B888" s="13"/>
      <c r="C888" s="13"/>
      <c r="D888" s="13"/>
      <c r="E888" s="13"/>
      <c r="F888" s="13"/>
      <c r="G888" s="36"/>
      <c r="H888" s="36"/>
      <c r="I888" s="36"/>
      <c r="J888" s="36"/>
      <c r="K888" s="36"/>
      <c r="L888" s="36"/>
      <c r="M888" s="36"/>
      <c r="N888" s="13"/>
      <c r="O888" s="202"/>
      <c r="P888" s="36"/>
      <c r="Q888" s="52"/>
      <c r="R888" s="52"/>
      <c r="S888" s="52"/>
      <c r="U888" s="202"/>
      <c r="V888" s="202"/>
      <c r="W888" s="202"/>
      <c r="X888" s="202"/>
      <c r="Y888" s="13"/>
      <c r="Z888" s="36"/>
      <c r="AA888" s="13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289"/>
      <c r="AO888" s="289"/>
      <c r="AP888" s="289"/>
      <c r="AQ888" s="36"/>
      <c r="AR888" s="283"/>
      <c r="AS888" s="13"/>
      <c r="AT888" s="13"/>
      <c r="AU888" s="32"/>
      <c r="AV888" s="277"/>
      <c r="AW888" s="277"/>
      <c r="AX888" s="277"/>
      <c r="AY888" s="280"/>
      <c r="AZ888" s="268"/>
      <c r="BA888" s="268"/>
      <c r="BB888" s="13"/>
      <c r="BC888" s="36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</row>
    <row r="889" spans="1:73">
      <c r="A889" s="13"/>
      <c r="B889" s="13"/>
      <c r="C889" s="13"/>
      <c r="D889" s="13"/>
      <c r="E889" s="13"/>
      <c r="F889" s="13"/>
      <c r="G889" s="36"/>
      <c r="H889" s="36"/>
      <c r="I889" s="36"/>
      <c r="J889" s="36"/>
      <c r="K889" s="36"/>
      <c r="L889" s="36"/>
      <c r="M889" s="36"/>
      <c r="N889" s="13"/>
      <c r="O889" s="202"/>
      <c r="P889" s="36"/>
      <c r="Q889" s="52"/>
      <c r="R889" s="52"/>
      <c r="S889" s="52"/>
      <c r="U889" s="202"/>
      <c r="V889" s="202"/>
      <c r="W889" s="202"/>
      <c r="X889" s="202"/>
      <c r="Y889" s="13"/>
      <c r="Z889" s="36"/>
      <c r="AA889" s="13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289"/>
      <c r="AO889" s="289"/>
      <c r="AP889" s="289"/>
      <c r="AQ889" s="36"/>
      <c r="AR889" s="283"/>
      <c r="AS889" s="13"/>
      <c r="AT889" s="13"/>
      <c r="AU889" s="32"/>
      <c r="AV889" s="277"/>
      <c r="AW889" s="277"/>
      <c r="AX889" s="277"/>
      <c r="AY889" s="280"/>
      <c r="AZ889" s="268"/>
      <c r="BA889" s="268"/>
      <c r="BB889" s="13"/>
      <c r="BC889" s="36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</row>
    <row r="890" spans="1:73">
      <c r="A890" s="13"/>
      <c r="B890" s="13"/>
      <c r="C890" s="13"/>
      <c r="D890" s="13"/>
      <c r="E890" s="13"/>
      <c r="F890" s="13"/>
      <c r="G890" s="36"/>
      <c r="H890" s="36"/>
      <c r="I890" s="36"/>
      <c r="J890" s="36"/>
      <c r="K890" s="36"/>
      <c r="L890" s="36"/>
      <c r="M890" s="36"/>
      <c r="N890" s="13"/>
      <c r="O890" s="202"/>
      <c r="P890" s="36"/>
      <c r="Q890" s="52"/>
      <c r="R890" s="52"/>
      <c r="S890" s="52"/>
      <c r="U890" s="202"/>
      <c r="V890" s="202"/>
      <c r="W890" s="202"/>
      <c r="X890" s="202"/>
      <c r="Y890" s="13"/>
      <c r="Z890" s="36"/>
      <c r="AA890" s="13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289"/>
      <c r="AO890" s="289"/>
      <c r="AP890" s="289"/>
      <c r="AQ890" s="36"/>
      <c r="AR890" s="283"/>
      <c r="AS890" s="13"/>
      <c r="AT890" s="13"/>
      <c r="AU890" s="32"/>
      <c r="AV890" s="277"/>
      <c r="AW890" s="277"/>
      <c r="AX890" s="277"/>
      <c r="AY890" s="280"/>
      <c r="AZ890" s="268"/>
      <c r="BA890" s="268"/>
      <c r="BB890" s="13"/>
      <c r="BC890" s="36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</row>
    <row r="891" spans="1:73">
      <c r="A891" s="13"/>
      <c r="B891" s="13"/>
      <c r="C891" s="13"/>
      <c r="D891" s="13"/>
      <c r="E891" s="13"/>
      <c r="F891" s="13"/>
      <c r="G891" s="36"/>
      <c r="H891" s="36"/>
      <c r="I891" s="36"/>
      <c r="J891" s="36"/>
      <c r="K891" s="36"/>
      <c r="L891" s="36"/>
      <c r="M891" s="36"/>
      <c r="N891" s="13"/>
      <c r="O891" s="202"/>
      <c r="P891" s="36"/>
      <c r="Q891" s="52"/>
      <c r="R891" s="52"/>
      <c r="S891" s="52"/>
      <c r="U891" s="202"/>
      <c r="V891" s="202"/>
      <c r="W891" s="202"/>
      <c r="X891" s="202"/>
      <c r="Y891" s="13"/>
      <c r="Z891" s="36"/>
      <c r="AA891" s="13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289"/>
      <c r="AO891" s="289"/>
      <c r="AP891" s="289"/>
      <c r="AQ891" s="36"/>
      <c r="AR891" s="283"/>
      <c r="AS891" s="13"/>
      <c r="AT891" s="13"/>
      <c r="AU891" s="32"/>
      <c r="AV891" s="277"/>
      <c r="AW891" s="277"/>
      <c r="AX891" s="277"/>
      <c r="AY891" s="280"/>
      <c r="AZ891" s="268"/>
      <c r="BA891" s="268"/>
      <c r="BB891" s="13"/>
      <c r="BC891" s="36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</row>
    <row r="892" spans="1:73">
      <c r="A892" s="13"/>
      <c r="B892" s="13"/>
      <c r="C892" s="13"/>
      <c r="D892" s="13"/>
      <c r="E892" s="13"/>
      <c r="F892" s="13"/>
      <c r="G892" s="36"/>
      <c r="H892" s="36"/>
      <c r="I892" s="36"/>
      <c r="J892" s="36"/>
      <c r="K892" s="36"/>
      <c r="L892" s="36"/>
      <c r="M892" s="36"/>
      <c r="N892" s="13"/>
      <c r="O892" s="202"/>
      <c r="P892" s="36"/>
      <c r="Q892" s="52"/>
      <c r="R892" s="52"/>
      <c r="S892" s="52"/>
      <c r="U892" s="202"/>
      <c r="V892" s="202"/>
      <c r="W892" s="202"/>
      <c r="X892" s="202"/>
      <c r="Y892" s="13"/>
      <c r="Z892" s="36"/>
      <c r="AA892" s="13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289"/>
      <c r="AO892" s="289"/>
      <c r="AP892" s="289"/>
      <c r="AQ892" s="36"/>
      <c r="AR892" s="283"/>
      <c r="AS892" s="13"/>
      <c r="AT892" s="13"/>
      <c r="AU892" s="32"/>
      <c r="AV892" s="277"/>
      <c r="AW892" s="277"/>
      <c r="AX892" s="277"/>
      <c r="AY892" s="280"/>
      <c r="AZ892" s="268"/>
      <c r="BA892" s="268"/>
      <c r="BB892" s="13"/>
      <c r="BC892" s="36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</row>
    <row r="893" spans="1:73">
      <c r="A893" s="13"/>
      <c r="B893" s="13"/>
      <c r="C893" s="13"/>
      <c r="D893" s="13"/>
      <c r="E893" s="13"/>
      <c r="F893" s="13"/>
      <c r="G893" s="36"/>
      <c r="H893" s="36"/>
      <c r="I893" s="36"/>
      <c r="J893" s="36"/>
      <c r="K893" s="36"/>
      <c r="L893" s="36"/>
      <c r="M893" s="36"/>
      <c r="N893" s="13"/>
      <c r="O893" s="202"/>
      <c r="P893" s="36"/>
      <c r="Q893" s="52"/>
      <c r="R893" s="52"/>
      <c r="S893" s="52"/>
      <c r="U893" s="202"/>
      <c r="V893" s="202"/>
      <c r="W893" s="202"/>
      <c r="X893" s="202"/>
      <c r="Y893" s="13"/>
      <c r="Z893" s="36"/>
      <c r="AA893" s="13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289"/>
      <c r="AO893" s="289"/>
      <c r="AP893" s="289"/>
      <c r="AQ893" s="36"/>
      <c r="AR893" s="283"/>
      <c r="AS893" s="13"/>
      <c r="AT893" s="13"/>
      <c r="AU893" s="32"/>
      <c r="AV893" s="277"/>
      <c r="AW893" s="277"/>
      <c r="AX893" s="277"/>
      <c r="AY893" s="280"/>
      <c r="AZ893" s="268"/>
      <c r="BA893" s="268"/>
      <c r="BB893" s="13"/>
      <c r="BC893" s="36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</row>
    <row r="894" spans="1:73">
      <c r="A894" s="13"/>
      <c r="B894" s="13"/>
      <c r="C894" s="13"/>
      <c r="D894" s="13"/>
      <c r="E894" s="13"/>
      <c r="F894" s="13"/>
      <c r="G894" s="36"/>
      <c r="H894" s="36"/>
      <c r="I894" s="36"/>
      <c r="J894" s="36"/>
      <c r="K894" s="36"/>
      <c r="L894" s="36"/>
      <c r="M894" s="36"/>
      <c r="N894" s="13"/>
      <c r="O894" s="202"/>
      <c r="P894" s="36"/>
      <c r="Q894" s="52"/>
      <c r="R894" s="52"/>
      <c r="S894" s="52"/>
      <c r="U894" s="202"/>
      <c r="V894" s="202"/>
      <c r="W894" s="202"/>
      <c r="X894" s="202"/>
      <c r="Y894" s="13"/>
      <c r="Z894" s="36"/>
      <c r="AA894" s="13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289"/>
      <c r="AO894" s="289"/>
      <c r="AP894" s="289"/>
      <c r="AQ894" s="36"/>
      <c r="AR894" s="283"/>
      <c r="AS894" s="13"/>
      <c r="AT894" s="13"/>
      <c r="AU894" s="32"/>
      <c r="AV894" s="277"/>
      <c r="AW894" s="277"/>
      <c r="AX894" s="277"/>
      <c r="AY894" s="280"/>
      <c r="AZ894" s="268"/>
      <c r="BA894" s="268"/>
      <c r="BB894" s="13"/>
      <c r="BC894" s="36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</row>
    <row r="895" spans="1:73">
      <c r="A895" s="13"/>
      <c r="B895" s="13"/>
      <c r="C895" s="13"/>
      <c r="D895" s="13"/>
      <c r="E895" s="13"/>
      <c r="F895" s="13"/>
      <c r="G895" s="36"/>
      <c r="H895" s="36"/>
      <c r="I895" s="36"/>
      <c r="J895" s="36"/>
      <c r="K895" s="36"/>
      <c r="L895" s="36"/>
      <c r="M895" s="36"/>
      <c r="N895" s="13"/>
      <c r="O895" s="202"/>
      <c r="P895" s="36"/>
      <c r="Q895" s="52"/>
      <c r="R895" s="52"/>
      <c r="S895" s="52"/>
      <c r="U895" s="202"/>
      <c r="V895" s="202"/>
      <c r="W895" s="202"/>
      <c r="X895" s="202"/>
      <c r="Y895" s="13"/>
      <c r="Z895" s="36"/>
      <c r="AA895" s="13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289"/>
      <c r="AO895" s="289"/>
      <c r="AP895" s="289"/>
      <c r="AQ895" s="36"/>
      <c r="AR895" s="283"/>
      <c r="AS895" s="13"/>
      <c r="AT895" s="13"/>
      <c r="AU895" s="32"/>
      <c r="AV895" s="277"/>
      <c r="AW895" s="277"/>
      <c r="AX895" s="277"/>
      <c r="AY895" s="280"/>
      <c r="AZ895" s="268"/>
      <c r="BA895" s="268"/>
      <c r="BB895" s="13"/>
      <c r="BC895" s="36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</row>
    <row r="896" spans="1:73">
      <c r="A896" s="13"/>
      <c r="B896" s="13"/>
      <c r="C896" s="13"/>
      <c r="D896" s="13"/>
      <c r="E896" s="13"/>
      <c r="F896" s="13"/>
      <c r="G896" s="36"/>
      <c r="H896" s="36"/>
      <c r="I896" s="36"/>
      <c r="J896" s="36"/>
      <c r="K896" s="36"/>
      <c r="L896" s="36"/>
      <c r="M896" s="36"/>
      <c r="N896" s="13"/>
      <c r="O896" s="202"/>
      <c r="P896" s="36"/>
      <c r="Q896" s="52"/>
      <c r="R896" s="52"/>
      <c r="S896" s="52"/>
      <c r="U896" s="202"/>
      <c r="V896" s="202"/>
      <c r="W896" s="202"/>
      <c r="X896" s="202"/>
      <c r="Y896" s="13"/>
      <c r="Z896" s="36"/>
      <c r="AA896" s="13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289"/>
      <c r="AO896" s="289"/>
      <c r="AP896" s="289"/>
      <c r="AQ896" s="36"/>
      <c r="AR896" s="283"/>
      <c r="AS896" s="13"/>
      <c r="AT896" s="13"/>
      <c r="AU896" s="32"/>
      <c r="AV896" s="277"/>
      <c r="AW896" s="277"/>
      <c r="AX896" s="277"/>
      <c r="AY896" s="280"/>
      <c r="AZ896" s="268"/>
      <c r="BA896" s="268"/>
      <c r="BB896" s="13"/>
      <c r="BC896" s="36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</row>
    <row r="897" spans="1:73">
      <c r="A897" s="13"/>
      <c r="B897" s="13"/>
      <c r="C897" s="13"/>
      <c r="D897" s="13"/>
      <c r="E897" s="13"/>
      <c r="F897" s="13"/>
      <c r="G897" s="36"/>
      <c r="H897" s="36"/>
      <c r="I897" s="36"/>
      <c r="J897" s="36"/>
      <c r="K897" s="36"/>
      <c r="L897" s="36"/>
      <c r="M897" s="36"/>
      <c r="N897" s="13"/>
      <c r="O897" s="202"/>
      <c r="P897" s="36"/>
      <c r="Q897" s="52"/>
      <c r="R897" s="52"/>
      <c r="S897" s="52"/>
      <c r="U897" s="202"/>
      <c r="V897" s="202"/>
      <c r="W897" s="202"/>
      <c r="X897" s="202"/>
      <c r="Y897" s="13"/>
      <c r="Z897" s="36"/>
      <c r="AA897" s="13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289"/>
      <c r="AO897" s="289"/>
      <c r="AP897" s="289"/>
      <c r="AQ897" s="36"/>
      <c r="AR897" s="283"/>
      <c r="AS897" s="13"/>
      <c r="AT897" s="13"/>
      <c r="AU897" s="32"/>
      <c r="AV897" s="277"/>
      <c r="AW897" s="277"/>
      <c r="AX897" s="277"/>
      <c r="AY897" s="280"/>
      <c r="AZ897" s="268"/>
      <c r="BA897" s="268"/>
      <c r="BB897" s="13"/>
      <c r="BC897" s="36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</row>
    <row r="898" spans="1:73">
      <c r="A898" s="13"/>
      <c r="B898" s="13"/>
      <c r="C898" s="13"/>
      <c r="D898" s="13"/>
      <c r="E898" s="13"/>
      <c r="F898" s="13"/>
      <c r="G898" s="36"/>
      <c r="H898" s="36"/>
      <c r="I898" s="36"/>
      <c r="J898" s="36"/>
      <c r="K898" s="36"/>
      <c r="L898" s="36"/>
      <c r="M898" s="36"/>
      <c r="N898" s="13"/>
      <c r="O898" s="202"/>
      <c r="P898" s="36"/>
      <c r="Q898" s="52"/>
      <c r="R898" s="52"/>
      <c r="S898" s="52"/>
      <c r="U898" s="202"/>
      <c r="V898" s="202"/>
      <c r="W898" s="202"/>
      <c r="X898" s="202"/>
      <c r="Y898" s="13"/>
      <c r="Z898" s="36"/>
      <c r="AA898" s="13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289"/>
      <c r="AO898" s="289"/>
      <c r="AP898" s="289"/>
      <c r="AQ898" s="36"/>
      <c r="AR898" s="283"/>
      <c r="AS898" s="13"/>
      <c r="AT898" s="13"/>
      <c r="AU898" s="32"/>
      <c r="AV898" s="277"/>
      <c r="AW898" s="277"/>
      <c r="AX898" s="277"/>
      <c r="AY898" s="280"/>
      <c r="AZ898" s="268"/>
      <c r="BA898" s="268"/>
      <c r="BB898" s="13"/>
      <c r="BC898" s="36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</row>
    <row r="899" spans="1:73">
      <c r="A899" s="13"/>
      <c r="B899" s="13"/>
      <c r="C899" s="13"/>
      <c r="D899" s="13"/>
      <c r="E899" s="13"/>
      <c r="F899" s="13"/>
      <c r="G899" s="36"/>
      <c r="H899" s="36"/>
      <c r="I899" s="36"/>
      <c r="J899" s="36"/>
      <c r="K899" s="36"/>
      <c r="L899" s="36"/>
      <c r="M899" s="36"/>
      <c r="N899" s="13"/>
      <c r="O899" s="202"/>
      <c r="P899" s="36"/>
      <c r="Q899" s="52"/>
      <c r="R899" s="52"/>
      <c r="S899" s="52"/>
      <c r="U899" s="202"/>
      <c r="V899" s="202"/>
      <c r="W899" s="202"/>
      <c r="X899" s="202"/>
      <c r="Y899" s="13"/>
      <c r="Z899" s="36"/>
      <c r="AA899" s="13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289"/>
      <c r="AO899" s="289"/>
      <c r="AP899" s="289"/>
      <c r="AQ899" s="36"/>
      <c r="AR899" s="283"/>
      <c r="AS899" s="13"/>
      <c r="AT899" s="13"/>
      <c r="AU899" s="32"/>
      <c r="AV899" s="277"/>
      <c r="AW899" s="277"/>
      <c r="AX899" s="277"/>
      <c r="AY899" s="280"/>
      <c r="AZ899" s="268"/>
      <c r="BA899" s="268"/>
      <c r="BB899" s="13"/>
      <c r="BC899" s="36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</row>
    <row r="900" spans="1:73">
      <c r="A900" s="13"/>
      <c r="B900" s="13"/>
      <c r="C900" s="13"/>
      <c r="D900" s="13"/>
      <c r="E900" s="13"/>
      <c r="F900" s="13"/>
      <c r="G900" s="36"/>
      <c r="H900" s="36"/>
      <c r="I900" s="36"/>
      <c r="J900" s="36"/>
      <c r="K900" s="36"/>
      <c r="L900" s="36"/>
      <c r="M900" s="36"/>
      <c r="N900" s="13"/>
      <c r="O900" s="202"/>
      <c r="P900" s="36"/>
      <c r="Q900" s="52"/>
      <c r="R900" s="52"/>
      <c r="S900" s="52"/>
      <c r="U900" s="202"/>
      <c r="V900" s="202"/>
      <c r="W900" s="202"/>
      <c r="X900" s="202"/>
      <c r="Y900" s="13"/>
      <c r="Z900" s="36"/>
      <c r="AA900" s="13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289"/>
      <c r="AO900" s="289"/>
      <c r="AP900" s="289"/>
      <c r="AQ900" s="36"/>
      <c r="AR900" s="283"/>
      <c r="AS900" s="13"/>
      <c r="AT900" s="13"/>
      <c r="AU900" s="32"/>
      <c r="AV900" s="277"/>
      <c r="AW900" s="277"/>
      <c r="AX900" s="277"/>
      <c r="AY900" s="280"/>
      <c r="AZ900" s="268"/>
      <c r="BA900" s="268"/>
      <c r="BB900" s="13"/>
      <c r="BC900" s="36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</row>
    <row r="901" spans="1:73">
      <c r="A901" s="13"/>
      <c r="B901" s="13"/>
      <c r="C901" s="13"/>
      <c r="D901" s="13"/>
      <c r="E901" s="13"/>
      <c r="F901" s="13"/>
      <c r="G901" s="36"/>
      <c r="H901" s="36"/>
      <c r="I901" s="36"/>
      <c r="J901" s="36"/>
      <c r="K901" s="36"/>
      <c r="L901" s="36"/>
      <c r="M901" s="36"/>
      <c r="N901" s="13"/>
      <c r="O901" s="202"/>
      <c r="P901" s="36"/>
      <c r="Q901" s="52"/>
      <c r="R901" s="52"/>
      <c r="S901" s="52"/>
      <c r="U901" s="202"/>
      <c r="V901" s="202"/>
      <c r="W901" s="202"/>
      <c r="X901" s="202"/>
      <c r="Y901" s="13"/>
      <c r="Z901" s="36"/>
      <c r="AA901" s="13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289"/>
      <c r="AO901" s="289"/>
      <c r="AP901" s="289"/>
      <c r="AQ901" s="36"/>
      <c r="AR901" s="283"/>
      <c r="AS901" s="13"/>
      <c r="AT901" s="13"/>
      <c r="AU901" s="32"/>
      <c r="AV901" s="277"/>
      <c r="AW901" s="277"/>
      <c r="AX901" s="277"/>
      <c r="AY901" s="280"/>
      <c r="AZ901" s="268"/>
      <c r="BA901" s="268"/>
      <c r="BB901" s="13"/>
      <c r="BC901" s="36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</row>
    <row r="902" spans="1:73">
      <c r="A902" s="13"/>
      <c r="B902" s="13"/>
      <c r="C902" s="13"/>
      <c r="D902" s="13"/>
      <c r="E902" s="13"/>
      <c r="F902" s="13"/>
      <c r="G902" s="36"/>
      <c r="H902" s="36"/>
      <c r="I902" s="36"/>
      <c r="J902" s="36"/>
      <c r="K902" s="36"/>
      <c r="L902" s="36"/>
      <c r="M902" s="36"/>
      <c r="N902" s="13"/>
      <c r="O902" s="202"/>
      <c r="P902" s="36"/>
      <c r="Q902" s="52"/>
      <c r="R902" s="52"/>
      <c r="S902" s="52"/>
      <c r="U902" s="202"/>
      <c r="V902" s="202"/>
      <c r="W902" s="202"/>
      <c r="X902" s="202"/>
      <c r="Y902" s="13"/>
      <c r="Z902" s="36"/>
      <c r="AA902" s="13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289"/>
      <c r="AO902" s="289"/>
      <c r="AP902" s="289"/>
      <c r="AQ902" s="36"/>
      <c r="AR902" s="283"/>
      <c r="AS902" s="13"/>
      <c r="AT902" s="13"/>
      <c r="AU902" s="32"/>
      <c r="AV902" s="277"/>
      <c r="AW902" s="277"/>
      <c r="AX902" s="277"/>
      <c r="AY902" s="280"/>
      <c r="AZ902" s="268"/>
      <c r="BA902" s="268"/>
      <c r="BB902" s="13"/>
      <c r="BC902" s="36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</row>
    <row r="903" spans="1:73">
      <c r="A903" s="13"/>
      <c r="B903" s="13"/>
      <c r="C903" s="13"/>
      <c r="D903" s="13"/>
      <c r="E903" s="13"/>
      <c r="F903" s="13"/>
      <c r="G903" s="36"/>
      <c r="H903" s="36"/>
      <c r="I903" s="36"/>
      <c r="J903" s="36"/>
      <c r="K903" s="36"/>
      <c r="L903" s="36"/>
      <c r="M903" s="36"/>
      <c r="N903" s="13"/>
      <c r="O903" s="202"/>
      <c r="P903" s="36"/>
      <c r="Q903" s="52"/>
      <c r="R903" s="52"/>
      <c r="S903" s="52"/>
      <c r="U903" s="202"/>
      <c r="V903" s="202"/>
      <c r="W903" s="202"/>
      <c r="X903" s="202"/>
      <c r="Y903" s="13"/>
      <c r="Z903" s="36"/>
      <c r="AA903" s="13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289"/>
      <c r="AO903" s="289"/>
      <c r="AP903" s="289"/>
      <c r="AQ903" s="36"/>
      <c r="AR903" s="283"/>
      <c r="AS903" s="13"/>
      <c r="AT903" s="13"/>
      <c r="AU903" s="32"/>
      <c r="AV903" s="277"/>
      <c r="AW903" s="277"/>
      <c r="AX903" s="277"/>
      <c r="AY903" s="280"/>
      <c r="AZ903" s="268"/>
      <c r="BA903" s="268"/>
      <c r="BB903" s="13"/>
      <c r="BC903" s="36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</row>
    <row r="904" spans="1:73">
      <c r="A904" s="13"/>
      <c r="B904" s="13"/>
      <c r="C904" s="13"/>
      <c r="D904" s="13"/>
      <c r="E904" s="13"/>
      <c r="F904" s="13"/>
      <c r="G904" s="36"/>
      <c r="H904" s="36"/>
      <c r="I904" s="36"/>
      <c r="J904" s="36"/>
      <c r="K904" s="36"/>
      <c r="L904" s="36"/>
      <c r="M904" s="36"/>
      <c r="N904" s="13"/>
      <c r="O904" s="202"/>
      <c r="P904" s="36"/>
      <c r="Q904" s="52"/>
      <c r="R904" s="52"/>
      <c r="S904" s="52"/>
      <c r="U904" s="202"/>
      <c r="V904" s="202"/>
      <c r="W904" s="202"/>
      <c r="X904" s="202"/>
      <c r="Y904" s="13"/>
      <c r="Z904" s="36"/>
      <c r="AA904" s="13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289"/>
      <c r="AO904" s="289"/>
      <c r="AP904" s="289"/>
      <c r="AQ904" s="36"/>
      <c r="AR904" s="283"/>
      <c r="AS904" s="13"/>
      <c r="AT904" s="13"/>
      <c r="AU904" s="32"/>
      <c r="AV904" s="277"/>
      <c r="AW904" s="277"/>
      <c r="AX904" s="277"/>
      <c r="AY904" s="280"/>
      <c r="AZ904" s="268"/>
      <c r="BA904" s="268"/>
      <c r="BB904" s="13"/>
      <c r="BC904" s="36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</row>
    <row r="905" spans="1:73">
      <c r="A905" s="13"/>
      <c r="B905" s="13"/>
      <c r="C905" s="13"/>
      <c r="D905" s="13"/>
      <c r="E905" s="13"/>
      <c r="F905" s="13"/>
      <c r="G905" s="36"/>
      <c r="H905" s="36"/>
      <c r="I905" s="36"/>
      <c r="J905" s="36"/>
      <c r="K905" s="36"/>
      <c r="L905" s="36"/>
      <c r="M905" s="36"/>
      <c r="N905" s="13"/>
      <c r="O905" s="202"/>
      <c r="P905" s="36"/>
      <c r="Q905" s="52"/>
      <c r="R905" s="52"/>
      <c r="S905" s="52"/>
      <c r="U905" s="202"/>
      <c r="V905" s="202"/>
      <c r="W905" s="202"/>
      <c r="X905" s="202"/>
      <c r="Y905" s="13"/>
      <c r="Z905" s="36"/>
      <c r="AA905" s="13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289"/>
      <c r="AO905" s="289"/>
      <c r="AP905" s="289"/>
      <c r="AQ905" s="36"/>
      <c r="AR905" s="283"/>
      <c r="AS905" s="13"/>
      <c r="AT905" s="13"/>
      <c r="AU905" s="32"/>
      <c r="AV905" s="277"/>
      <c r="AW905" s="277"/>
      <c r="AX905" s="277"/>
      <c r="AY905" s="280"/>
      <c r="AZ905" s="268"/>
      <c r="BA905" s="268"/>
      <c r="BB905" s="13"/>
      <c r="BC905" s="36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</row>
    <row r="906" spans="1:73">
      <c r="A906" s="13"/>
      <c r="B906" s="13"/>
      <c r="C906" s="13"/>
      <c r="D906" s="13"/>
      <c r="E906" s="13"/>
      <c r="F906" s="13"/>
      <c r="G906" s="36"/>
      <c r="H906" s="36"/>
      <c r="I906" s="36"/>
      <c r="J906" s="36"/>
      <c r="K906" s="36"/>
      <c r="L906" s="36"/>
      <c r="M906" s="36"/>
      <c r="N906" s="13"/>
      <c r="O906" s="202"/>
      <c r="P906" s="36"/>
      <c r="Q906" s="52"/>
      <c r="R906" s="52"/>
      <c r="S906" s="52"/>
      <c r="U906" s="202"/>
      <c r="V906" s="202"/>
      <c r="W906" s="202"/>
      <c r="X906" s="202"/>
      <c r="Y906" s="13"/>
      <c r="Z906" s="36"/>
      <c r="AA906" s="13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289"/>
      <c r="AO906" s="289"/>
      <c r="AP906" s="289"/>
      <c r="AQ906" s="36"/>
      <c r="AR906" s="283"/>
      <c r="AS906" s="13"/>
      <c r="AT906" s="13"/>
      <c r="AU906" s="32"/>
      <c r="AV906" s="277"/>
      <c r="AW906" s="277"/>
      <c r="AX906" s="277"/>
      <c r="AY906" s="280"/>
      <c r="AZ906" s="268"/>
      <c r="BA906" s="268"/>
      <c r="BB906" s="13"/>
      <c r="BC906" s="36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</row>
    <row r="907" spans="1:73">
      <c r="A907" s="13"/>
      <c r="B907" s="13"/>
      <c r="C907" s="13"/>
      <c r="D907" s="13"/>
      <c r="E907" s="13"/>
      <c r="F907" s="13"/>
      <c r="G907" s="36"/>
      <c r="H907" s="36"/>
      <c r="I907" s="36"/>
      <c r="J907" s="36"/>
      <c r="K907" s="36"/>
      <c r="L907" s="36"/>
      <c r="M907" s="36"/>
      <c r="N907" s="13"/>
      <c r="O907" s="202"/>
      <c r="P907" s="36"/>
      <c r="Q907" s="52"/>
      <c r="R907" s="52"/>
      <c r="S907" s="52"/>
      <c r="U907" s="202"/>
      <c r="V907" s="202"/>
      <c r="W907" s="202"/>
      <c r="X907" s="202"/>
      <c r="Y907" s="13"/>
      <c r="Z907" s="36"/>
      <c r="AA907" s="13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289"/>
      <c r="AO907" s="289"/>
      <c r="AP907" s="289"/>
      <c r="AQ907" s="36"/>
      <c r="AR907" s="283"/>
      <c r="AS907" s="13"/>
      <c r="AT907" s="13"/>
      <c r="AU907" s="32"/>
      <c r="AV907" s="277"/>
      <c r="AW907" s="277"/>
      <c r="AX907" s="277"/>
      <c r="AY907" s="280"/>
      <c r="AZ907" s="268"/>
      <c r="BA907" s="268"/>
      <c r="BB907" s="13"/>
      <c r="BC907" s="36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</row>
    <row r="908" spans="1:73">
      <c r="A908" s="13"/>
      <c r="B908" s="13"/>
      <c r="C908" s="13"/>
      <c r="D908" s="13"/>
      <c r="E908" s="13"/>
      <c r="F908" s="13"/>
      <c r="G908" s="36"/>
      <c r="H908" s="36"/>
      <c r="I908" s="36"/>
      <c r="J908" s="36"/>
      <c r="K908" s="36"/>
      <c r="L908" s="36"/>
      <c r="M908" s="36"/>
      <c r="N908" s="13"/>
      <c r="O908" s="202"/>
      <c r="P908" s="36"/>
      <c r="Q908" s="52"/>
      <c r="R908" s="52"/>
      <c r="S908" s="52"/>
      <c r="U908" s="202"/>
      <c r="V908" s="202"/>
      <c r="W908" s="202"/>
      <c r="X908" s="202"/>
      <c r="Y908" s="13"/>
      <c r="Z908" s="36"/>
      <c r="AA908" s="13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289"/>
      <c r="AO908" s="289"/>
      <c r="AP908" s="289"/>
      <c r="AQ908" s="36"/>
      <c r="AR908" s="283"/>
      <c r="AS908" s="13"/>
      <c r="AT908" s="13"/>
      <c r="AU908" s="32"/>
      <c r="AV908" s="277"/>
      <c r="AW908" s="277"/>
      <c r="AX908" s="277"/>
      <c r="AY908" s="280"/>
      <c r="AZ908" s="268"/>
      <c r="BA908" s="268"/>
      <c r="BB908" s="13"/>
      <c r="BC908" s="36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</row>
    <row r="909" spans="1:73">
      <c r="A909" s="13"/>
      <c r="B909" s="13"/>
      <c r="C909" s="13"/>
      <c r="D909" s="13"/>
      <c r="E909" s="13"/>
      <c r="F909" s="13"/>
      <c r="G909" s="36"/>
      <c r="H909" s="36"/>
      <c r="I909" s="36"/>
      <c r="J909" s="36"/>
      <c r="K909" s="36"/>
      <c r="L909" s="36"/>
      <c r="M909" s="36"/>
      <c r="N909" s="13"/>
      <c r="O909" s="202"/>
      <c r="P909" s="36"/>
      <c r="Q909" s="52"/>
      <c r="R909" s="52"/>
      <c r="S909" s="52"/>
      <c r="U909" s="202"/>
      <c r="V909" s="202"/>
      <c r="W909" s="202"/>
      <c r="X909" s="202"/>
      <c r="Y909" s="13"/>
      <c r="Z909" s="36"/>
      <c r="AA909" s="13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289"/>
      <c r="AO909" s="289"/>
      <c r="AP909" s="289"/>
      <c r="AQ909" s="36"/>
      <c r="AR909" s="283"/>
      <c r="AS909" s="13"/>
      <c r="AT909" s="13"/>
      <c r="AU909" s="32"/>
      <c r="AV909" s="277"/>
      <c r="AW909" s="277"/>
      <c r="AX909" s="277"/>
      <c r="AY909" s="280"/>
      <c r="AZ909" s="268"/>
      <c r="BA909" s="268"/>
      <c r="BB909" s="13"/>
      <c r="BC909" s="36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</row>
    <row r="910" spans="1:73">
      <c r="A910" s="13"/>
      <c r="B910" s="13"/>
      <c r="C910" s="13"/>
      <c r="D910" s="13"/>
      <c r="E910" s="13"/>
      <c r="F910" s="13"/>
      <c r="G910" s="36"/>
      <c r="H910" s="36"/>
      <c r="I910" s="36"/>
      <c r="J910" s="36"/>
      <c r="K910" s="36"/>
      <c r="L910" s="36"/>
      <c r="M910" s="36"/>
      <c r="N910" s="13"/>
      <c r="O910" s="202"/>
      <c r="P910" s="36"/>
      <c r="Q910" s="52"/>
      <c r="R910" s="52"/>
      <c r="S910" s="52"/>
      <c r="U910" s="202"/>
      <c r="V910" s="202"/>
      <c r="W910" s="202"/>
      <c r="X910" s="202"/>
      <c r="Y910" s="13"/>
      <c r="Z910" s="36"/>
      <c r="AA910" s="13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289"/>
      <c r="AO910" s="289"/>
      <c r="AP910" s="289"/>
      <c r="AQ910" s="36"/>
      <c r="AR910" s="283"/>
      <c r="AS910" s="13"/>
      <c r="AT910" s="13"/>
      <c r="AU910" s="32"/>
      <c r="AV910" s="277"/>
      <c r="AW910" s="277"/>
      <c r="AX910" s="277"/>
      <c r="AY910" s="280"/>
      <c r="AZ910" s="268"/>
      <c r="BA910" s="268"/>
      <c r="BB910" s="13"/>
      <c r="BC910" s="36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</row>
    <row r="911" spans="1:73">
      <c r="A911" s="13"/>
      <c r="B911" s="13"/>
      <c r="C911" s="13"/>
      <c r="D911" s="13"/>
      <c r="E911" s="13"/>
      <c r="F911" s="13"/>
      <c r="G911" s="36"/>
      <c r="H911" s="36"/>
      <c r="I911" s="36"/>
      <c r="J911" s="36"/>
      <c r="K911" s="36"/>
      <c r="L911" s="36"/>
      <c r="M911" s="36"/>
      <c r="N911" s="13"/>
      <c r="O911" s="202"/>
      <c r="P911" s="36"/>
      <c r="Q911" s="52"/>
      <c r="R911" s="52"/>
      <c r="S911" s="52"/>
      <c r="U911" s="202"/>
      <c r="V911" s="202"/>
      <c r="W911" s="202"/>
      <c r="X911" s="202"/>
      <c r="Y911" s="13"/>
      <c r="Z911" s="36"/>
      <c r="AA911" s="13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289"/>
      <c r="AO911" s="289"/>
      <c r="AP911" s="289"/>
      <c r="AQ911" s="36"/>
      <c r="AR911" s="283"/>
      <c r="AS911" s="13"/>
      <c r="AT911" s="13"/>
      <c r="AU911" s="32"/>
      <c r="AV911" s="277"/>
      <c r="AW911" s="277"/>
      <c r="AX911" s="277"/>
      <c r="AY911" s="280"/>
      <c r="AZ911" s="268"/>
      <c r="BA911" s="268"/>
      <c r="BB911" s="13"/>
      <c r="BC911" s="36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</row>
    <row r="912" spans="1:73">
      <c r="A912" s="13"/>
      <c r="B912" s="13"/>
      <c r="C912" s="13"/>
      <c r="D912" s="13"/>
      <c r="E912" s="13"/>
      <c r="F912" s="13"/>
      <c r="G912" s="36"/>
      <c r="H912" s="36"/>
      <c r="I912" s="36"/>
      <c r="J912" s="36"/>
      <c r="K912" s="36"/>
      <c r="L912" s="36"/>
      <c r="M912" s="36"/>
      <c r="N912" s="13"/>
      <c r="O912" s="202"/>
      <c r="P912" s="36"/>
      <c r="Q912" s="52"/>
      <c r="R912" s="52"/>
      <c r="S912" s="52"/>
      <c r="U912" s="202"/>
      <c r="V912" s="202"/>
      <c r="W912" s="202"/>
      <c r="X912" s="202"/>
      <c r="Y912" s="13"/>
      <c r="Z912" s="36"/>
      <c r="AA912" s="13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289"/>
      <c r="AO912" s="289"/>
      <c r="AP912" s="289"/>
      <c r="AQ912" s="36"/>
      <c r="AR912" s="283"/>
      <c r="AS912" s="13"/>
      <c r="AT912" s="13"/>
      <c r="AU912" s="32"/>
      <c r="AV912" s="277"/>
      <c r="AW912" s="277"/>
      <c r="AX912" s="277"/>
      <c r="AY912" s="280"/>
      <c r="AZ912" s="268"/>
      <c r="BA912" s="268"/>
      <c r="BB912" s="13"/>
      <c r="BC912" s="36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</row>
    <row r="913" spans="1:73">
      <c r="A913" s="13"/>
      <c r="B913" s="13"/>
      <c r="C913" s="13"/>
      <c r="D913" s="13"/>
      <c r="E913" s="13"/>
      <c r="F913" s="13"/>
      <c r="G913" s="36"/>
      <c r="H913" s="36"/>
      <c r="I913" s="36"/>
      <c r="J913" s="36"/>
      <c r="K913" s="36"/>
      <c r="L913" s="36"/>
      <c r="M913" s="36"/>
      <c r="N913" s="13"/>
      <c r="O913" s="202"/>
      <c r="P913" s="36"/>
      <c r="Q913" s="52"/>
      <c r="R913" s="52"/>
      <c r="S913" s="52"/>
      <c r="U913" s="202"/>
      <c r="V913" s="202"/>
      <c r="W913" s="202"/>
      <c r="X913" s="202"/>
      <c r="Y913" s="13"/>
      <c r="Z913" s="36"/>
      <c r="AA913" s="13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289"/>
      <c r="AO913" s="289"/>
      <c r="AP913" s="289"/>
      <c r="AQ913" s="36"/>
      <c r="AR913" s="283"/>
      <c r="AS913" s="13"/>
      <c r="AT913" s="13"/>
      <c r="AU913" s="32"/>
      <c r="AV913" s="277"/>
      <c r="AW913" s="277"/>
      <c r="AX913" s="277"/>
      <c r="AY913" s="280"/>
      <c r="AZ913" s="268"/>
      <c r="BA913" s="268"/>
      <c r="BB913" s="13"/>
      <c r="BC913" s="36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</row>
    <row r="914" spans="1:73">
      <c r="A914" s="13"/>
      <c r="B914" s="13"/>
      <c r="C914" s="13"/>
      <c r="D914" s="13"/>
      <c r="E914" s="13"/>
      <c r="F914" s="13"/>
      <c r="G914" s="36"/>
      <c r="H914" s="36"/>
      <c r="I914" s="36"/>
      <c r="J914" s="36"/>
      <c r="K914" s="36"/>
      <c r="L914" s="36"/>
      <c r="M914" s="36"/>
      <c r="N914" s="13"/>
      <c r="O914" s="202"/>
      <c r="P914" s="36"/>
      <c r="Q914" s="52"/>
      <c r="R914" s="52"/>
      <c r="S914" s="52"/>
      <c r="U914" s="202"/>
      <c r="V914" s="202"/>
      <c r="W914" s="202"/>
      <c r="X914" s="202"/>
      <c r="Y914" s="13"/>
      <c r="Z914" s="36"/>
      <c r="AA914" s="13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289"/>
      <c r="AO914" s="289"/>
      <c r="AP914" s="289"/>
      <c r="AQ914" s="36"/>
      <c r="AR914" s="283"/>
      <c r="AS914" s="13"/>
      <c r="AT914" s="13"/>
      <c r="AU914" s="32"/>
      <c r="AV914" s="277"/>
      <c r="AW914" s="277"/>
      <c r="AX914" s="277"/>
      <c r="AY914" s="280"/>
      <c r="AZ914" s="268"/>
      <c r="BA914" s="268"/>
      <c r="BB914" s="13"/>
      <c r="BC914" s="36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</row>
    <row r="915" spans="1:73">
      <c r="A915" s="13"/>
      <c r="B915" s="13"/>
      <c r="C915" s="13"/>
      <c r="D915" s="13"/>
      <c r="E915" s="13"/>
      <c r="F915" s="13"/>
      <c r="G915" s="36"/>
      <c r="H915" s="36"/>
      <c r="I915" s="36"/>
      <c r="J915" s="36"/>
      <c r="K915" s="36"/>
      <c r="L915" s="36"/>
      <c r="M915" s="36"/>
      <c r="N915" s="13"/>
      <c r="O915" s="202"/>
      <c r="P915" s="36"/>
      <c r="Q915" s="52"/>
      <c r="R915" s="52"/>
      <c r="S915" s="52"/>
      <c r="U915" s="202"/>
      <c r="V915" s="202"/>
      <c r="W915" s="202"/>
      <c r="X915" s="202"/>
      <c r="Y915" s="13"/>
      <c r="Z915" s="36"/>
      <c r="AA915" s="13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289"/>
      <c r="AO915" s="289"/>
      <c r="AP915" s="289"/>
      <c r="AQ915" s="36"/>
      <c r="AR915" s="283"/>
      <c r="AS915" s="13"/>
      <c r="AT915" s="13"/>
      <c r="AU915" s="32"/>
      <c r="AV915" s="277"/>
      <c r="AW915" s="277"/>
      <c r="AX915" s="277"/>
      <c r="AY915" s="280"/>
      <c r="AZ915" s="268"/>
      <c r="BA915" s="268"/>
      <c r="BB915" s="13"/>
      <c r="BC915" s="36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</row>
    <row r="916" spans="1:73">
      <c r="A916" s="13"/>
      <c r="B916" s="13"/>
      <c r="C916" s="13"/>
      <c r="D916" s="13"/>
      <c r="E916" s="13"/>
      <c r="F916" s="13"/>
      <c r="G916" s="36"/>
      <c r="H916" s="36"/>
      <c r="I916" s="36"/>
      <c r="J916" s="36"/>
      <c r="K916" s="36"/>
      <c r="L916" s="36"/>
      <c r="M916" s="36"/>
      <c r="N916" s="13"/>
      <c r="O916" s="202"/>
      <c r="P916" s="36"/>
      <c r="Q916" s="52"/>
      <c r="R916" s="52"/>
      <c r="S916" s="52"/>
      <c r="U916" s="202"/>
      <c r="V916" s="202"/>
      <c r="W916" s="202"/>
      <c r="X916" s="202"/>
      <c r="Y916" s="13"/>
      <c r="Z916" s="36"/>
      <c r="AA916" s="13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289"/>
      <c r="AO916" s="289"/>
      <c r="AP916" s="289"/>
      <c r="AQ916" s="36"/>
      <c r="AR916" s="283"/>
      <c r="AS916" s="13"/>
      <c r="AT916" s="13"/>
      <c r="AU916" s="32"/>
      <c r="AV916" s="277"/>
      <c r="AW916" s="277"/>
      <c r="AX916" s="277"/>
      <c r="AY916" s="280"/>
      <c r="AZ916" s="268"/>
      <c r="BA916" s="268"/>
      <c r="BB916" s="13"/>
      <c r="BC916" s="36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</row>
    <row r="917" spans="1:73">
      <c r="A917" s="13"/>
      <c r="B917" s="13"/>
      <c r="C917" s="13"/>
      <c r="D917" s="13"/>
      <c r="E917" s="13"/>
      <c r="F917" s="13"/>
      <c r="G917" s="36"/>
      <c r="H917" s="36"/>
      <c r="I917" s="36"/>
      <c r="J917" s="36"/>
      <c r="K917" s="36"/>
      <c r="L917" s="36"/>
      <c r="M917" s="36"/>
      <c r="N917" s="13"/>
      <c r="O917" s="202"/>
      <c r="P917" s="36"/>
      <c r="Q917" s="52"/>
      <c r="R917" s="52"/>
      <c r="S917" s="52"/>
      <c r="U917" s="202"/>
      <c r="V917" s="202"/>
      <c r="W917" s="202"/>
      <c r="X917" s="202"/>
      <c r="Y917" s="13"/>
      <c r="Z917" s="36"/>
      <c r="AA917" s="13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289"/>
      <c r="AO917" s="289"/>
      <c r="AP917" s="289"/>
      <c r="AQ917" s="36"/>
      <c r="AR917" s="283"/>
      <c r="AS917" s="13"/>
      <c r="AT917" s="13"/>
      <c r="AU917" s="32"/>
      <c r="AV917" s="277"/>
      <c r="AW917" s="277"/>
      <c r="AX917" s="277"/>
      <c r="AY917" s="280"/>
      <c r="AZ917" s="268"/>
      <c r="BA917" s="268"/>
      <c r="BB917" s="13"/>
      <c r="BC917" s="36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</row>
    <row r="918" spans="1:73">
      <c r="A918" s="13"/>
      <c r="B918" s="13"/>
      <c r="C918" s="13"/>
      <c r="D918" s="13"/>
      <c r="E918" s="13"/>
      <c r="F918" s="13"/>
      <c r="G918" s="36"/>
      <c r="H918" s="36"/>
      <c r="I918" s="36"/>
      <c r="J918" s="36"/>
      <c r="K918" s="36"/>
      <c r="L918" s="36"/>
      <c r="M918" s="36"/>
      <c r="N918" s="13"/>
      <c r="O918" s="202"/>
      <c r="P918" s="36"/>
      <c r="Q918" s="52"/>
      <c r="R918" s="52"/>
      <c r="S918" s="52"/>
      <c r="U918" s="202"/>
      <c r="V918" s="202"/>
      <c r="W918" s="202"/>
      <c r="X918" s="202"/>
      <c r="Y918" s="13"/>
      <c r="Z918" s="36"/>
      <c r="AA918" s="13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289"/>
      <c r="AO918" s="289"/>
      <c r="AP918" s="289"/>
      <c r="AQ918" s="36"/>
      <c r="AR918" s="283"/>
      <c r="AS918" s="13"/>
      <c r="AT918" s="13"/>
      <c r="AU918" s="32"/>
      <c r="AV918" s="277"/>
      <c r="AW918" s="277"/>
      <c r="AX918" s="277"/>
      <c r="AY918" s="280"/>
      <c r="AZ918" s="268"/>
      <c r="BA918" s="268"/>
      <c r="BB918" s="13"/>
      <c r="BC918" s="36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</row>
    <row r="919" spans="1:73">
      <c r="A919" s="13"/>
      <c r="B919" s="13"/>
      <c r="C919" s="13"/>
      <c r="D919" s="13"/>
      <c r="E919" s="13"/>
      <c r="F919" s="13"/>
      <c r="G919" s="36"/>
      <c r="H919" s="36"/>
      <c r="I919" s="36"/>
      <c r="J919" s="36"/>
      <c r="K919" s="36"/>
      <c r="L919" s="36"/>
      <c r="M919" s="36"/>
      <c r="N919" s="13"/>
      <c r="O919" s="202"/>
      <c r="P919" s="36"/>
      <c r="Q919" s="52"/>
      <c r="R919" s="52"/>
      <c r="S919" s="52"/>
      <c r="U919" s="202"/>
      <c r="V919" s="202"/>
      <c r="W919" s="202"/>
      <c r="X919" s="202"/>
      <c r="Y919" s="13"/>
      <c r="Z919" s="36"/>
      <c r="AA919" s="13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289"/>
      <c r="AO919" s="289"/>
      <c r="AP919" s="289"/>
      <c r="AQ919" s="36"/>
      <c r="AR919" s="283"/>
      <c r="AS919" s="13"/>
      <c r="AT919" s="13"/>
      <c r="AU919" s="32"/>
      <c r="AV919" s="277"/>
      <c r="AW919" s="277"/>
      <c r="AX919" s="277"/>
      <c r="AY919" s="280"/>
      <c r="AZ919" s="268"/>
      <c r="BA919" s="268"/>
      <c r="BB919" s="13"/>
      <c r="BC919" s="36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</row>
    <row r="920" spans="1:73">
      <c r="A920" s="13"/>
      <c r="B920" s="13"/>
      <c r="C920" s="13"/>
      <c r="D920" s="13"/>
      <c r="E920" s="13"/>
      <c r="F920" s="13"/>
      <c r="G920" s="36"/>
      <c r="H920" s="36"/>
      <c r="I920" s="36"/>
      <c r="J920" s="36"/>
      <c r="K920" s="36"/>
      <c r="L920" s="36"/>
      <c r="M920" s="36"/>
      <c r="N920" s="13"/>
      <c r="O920" s="202"/>
      <c r="P920" s="36"/>
      <c r="Q920" s="52"/>
      <c r="R920" s="52"/>
      <c r="S920" s="52"/>
      <c r="U920" s="202"/>
      <c r="V920" s="202"/>
      <c r="W920" s="202"/>
      <c r="X920" s="202"/>
      <c r="Y920" s="13"/>
      <c r="Z920" s="36"/>
      <c r="AA920" s="13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289"/>
      <c r="AO920" s="289"/>
      <c r="AP920" s="289"/>
      <c r="AQ920" s="36"/>
      <c r="AR920" s="283"/>
      <c r="AS920" s="13"/>
      <c r="AT920" s="13"/>
      <c r="AU920" s="32"/>
      <c r="AV920" s="277"/>
      <c r="AW920" s="277"/>
      <c r="AX920" s="277"/>
      <c r="AY920" s="280"/>
      <c r="AZ920" s="268"/>
      <c r="BA920" s="268"/>
      <c r="BB920" s="13"/>
      <c r="BC920" s="36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</row>
    <row r="921" spans="1:73">
      <c r="A921" s="13"/>
      <c r="B921" s="13"/>
      <c r="C921" s="13"/>
      <c r="D921" s="13"/>
      <c r="E921" s="13"/>
      <c r="F921" s="13"/>
      <c r="G921" s="36"/>
      <c r="H921" s="36"/>
      <c r="I921" s="36"/>
      <c r="J921" s="36"/>
      <c r="K921" s="36"/>
      <c r="L921" s="36"/>
      <c r="M921" s="36"/>
      <c r="N921" s="13"/>
      <c r="O921" s="202"/>
      <c r="P921" s="36"/>
      <c r="Q921" s="52"/>
      <c r="R921" s="52"/>
      <c r="S921" s="52"/>
      <c r="U921" s="202"/>
      <c r="V921" s="202"/>
      <c r="W921" s="202"/>
      <c r="X921" s="202"/>
      <c r="Y921" s="13"/>
      <c r="Z921" s="36"/>
      <c r="AA921" s="13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289"/>
      <c r="AO921" s="289"/>
      <c r="AP921" s="289"/>
      <c r="AQ921" s="36"/>
      <c r="AR921" s="283"/>
      <c r="AS921" s="13"/>
      <c r="AT921" s="13"/>
      <c r="AU921" s="32"/>
      <c r="AV921" s="277"/>
      <c r="AW921" s="277"/>
      <c r="AX921" s="277"/>
      <c r="AY921" s="280"/>
      <c r="AZ921" s="268"/>
      <c r="BA921" s="268"/>
      <c r="BB921" s="13"/>
      <c r="BC921" s="36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</row>
    <row r="922" spans="1:73">
      <c r="A922" s="13"/>
      <c r="B922" s="13"/>
      <c r="C922" s="13"/>
      <c r="D922" s="13"/>
      <c r="E922" s="13"/>
      <c r="F922" s="13"/>
      <c r="G922" s="36"/>
      <c r="H922" s="36"/>
      <c r="I922" s="36"/>
      <c r="J922" s="36"/>
      <c r="K922" s="36"/>
      <c r="L922" s="36"/>
      <c r="M922" s="36"/>
      <c r="N922" s="13"/>
      <c r="O922" s="202"/>
      <c r="P922" s="36"/>
      <c r="Q922" s="52"/>
      <c r="R922" s="52"/>
      <c r="S922" s="52"/>
      <c r="U922" s="202"/>
      <c r="V922" s="202"/>
      <c r="W922" s="202"/>
      <c r="X922" s="202"/>
      <c r="Y922" s="13"/>
      <c r="Z922" s="36"/>
      <c r="AA922" s="13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289"/>
      <c r="AO922" s="289"/>
      <c r="AP922" s="289"/>
      <c r="AQ922" s="36"/>
      <c r="AR922" s="283"/>
      <c r="AS922" s="13"/>
      <c r="AT922" s="13"/>
      <c r="AU922" s="32"/>
      <c r="AV922" s="277"/>
      <c r="AW922" s="277"/>
      <c r="AX922" s="277"/>
      <c r="AY922" s="280"/>
      <c r="AZ922" s="268"/>
      <c r="BA922" s="268"/>
      <c r="BB922" s="13"/>
      <c r="BC922" s="36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</row>
    <row r="923" spans="1:73">
      <c r="A923" s="13"/>
      <c r="B923" s="13"/>
      <c r="C923" s="13"/>
      <c r="D923" s="13"/>
      <c r="E923" s="13"/>
      <c r="F923" s="13"/>
      <c r="G923" s="36"/>
      <c r="H923" s="36"/>
      <c r="I923" s="36"/>
      <c r="J923" s="36"/>
      <c r="K923" s="36"/>
      <c r="L923" s="36"/>
      <c r="M923" s="36"/>
      <c r="N923" s="13"/>
      <c r="O923" s="202"/>
      <c r="P923" s="36"/>
      <c r="Q923" s="52"/>
      <c r="R923" s="52"/>
      <c r="S923" s="52"/>
      <c r="U923" s="202"/>
      <c r="V923" s="202"/>
      <c r="W923" s="202"/>
      <c r="X923" s="202"/>
      <c r="Y923" s="13"/>
      <c r="Z923" s="36"/>
      <c r="AA923" s="13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289"/>
      <c r="AO923" s="289"/>
      <c r="AP923" s="289"/>
      <c r="AQ923" s="36"/>
      <c r="AR923" s="283"/>
      <c r="AS923" s="13"/>
      <c r="AT923" s="13"/>
      <c r="AU923" s="32"/>
      <c r="AV923" s="277"/>
      <c r="AW923" s="277"/>
      <c r="AX923" s="277"/>
      <c r="AY923" s="280"/>
      <c r="AZ923" s="268"/>
      <c r="BA923" s="268"/>
      <c r="BB923" s="13"/>
      <c r="BC923" s="36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</row>
    <row r="924" spans="1:73">
      <c r="A924" s="13"/>
      <c r="B924" s="13"/>
      <c r="C924" s="13"/>
      <c r="D924" s="13"/>
      <c r="E924" s="13"/>
      <c r="F924" s="13"/>
      <c r="G924" s="36"/>
      <c r="H924" s="36"/>
      <c r="I924" s="36"/>
      <c r="J924" s="36"/>
      <c r="K924" s="36"/>
      <c r="L924" s="36"/>
      <c r="M924" s="36"/>
      <c r="N924" s="13"/>
      <c r="O924" s="202"/>
      <c r="P924" s="36"/>
      <c r="Q924" s="52"/>
      <c r="R924" s="52"/>
      <c r="S924" s="52"/>
      <c r="U924" s="202"/>
      <c r="V924" s="202"/>
      <c r="W924" s="202"/>
      <c r="X924" s="202"/>
      <c r="Y924" s="13"/>
      <c r="Z924" s="36"/>
      <c r="AA924" s="13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289"/>
      <c r="AO924" s="289"/>
      <c r="AP924" s="289"/>
      <c r="AQ924" s="36"/>
      <c r="AR924" s="283"/>
      <c r="AS924" s="13"/>
      <c r="AT924" s="13"/>
      <c r="AU924" s="32"/>
      <c r="AV924" s="277"/>
      <c r="AW924" s="277"/>
      <c r="AX924" s="277"/>
      <c r="AY924" s="280"/>
      <c r="AZ924" s="268"/>
      <c r="BA924" s="268"/>
      <c r="BB924" s="13"/>
      <c r="BC924" s="36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</row>
    <row r="925" spans="1:73">
      <c r="A925" s="13"/>
      <c r="B925" s="13"/>
      <c r="C925" s="13"/>
      <c r="D925" s="13"/>
      <c r="E925" s="13"/>
      <c r="F925" s="13"/>
      <c r="G925" s="36"/>
      <c r="H925" s="36"/>
      <c r="I925" s="36"/>
      <c r="J925" s="36"/>
      <c r="K925" s="36"/>
      <c r="L925" s="36"/>
      <c r="M925" s="36"/>
      <c r="N925" s="13"/>
      <c r="O925" s="202"/>
      <c r="P925" s="36"/>
      <c r="Q925" s="52"/>
      <c r="R925" s="52"/>
      <c r="S925" s="52"/>
      <c r="U925" s="202"/>
      <c r="V925" s="202"/>
      <c r="W925" s="202"/>
      <c r="X925" s="202"/>
      <c r="Y925" s="13"/>
      <c r="Z925" s="36"/>
      <c r="AA925" s="13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289"/>
      <c r="AO925" s="289"/>
      <c r="AP925" s="289"/>
      <c r="AQ925" s="36"/>
      <c r="AR925" s="283"/>
      <c r="AS925" s="13"/>
      <c r="AT925" s="13"/>
      <c r="AU925" s="32"/>
      <c r="AV925" s="277"/>
      <c r="AW925" s="277"/>
      <c r="AX925" s="277"/>
      <c r="AY925" s="280"/>
      <c r="AZ925" s="268"/>
      <c r="BA925" s="268"/>
      <c r="BB925" s="13"/>
      <c r="BC925" s="36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</row>
    <row r="926" spans="1:73">
      <c r="A926" s="13"/>
      <c r="B926" s="13"/>
      <c r="C926" s="13"/>
      <c r="D926" s="13"/>
      <c r="E926" s="13"/>
      <c r="F926" s="13"/>
      <c r="G926" s="36"/>
      <c r="H926" s="36"/>
      <c r="I926" s="36"/>
      <c r="J926" s="36"/>
      <c r="K926" s="36"/>
      <c r="L926" s="36"/>
      <c r="M926" s="36"/>
      <c r="N926" s="13"/>
      <c r="O926" s="202"/>
      <c r="P926" s="36"/>
      <c r="Q926" s="52"/>
      <c r="R926" s="52"/>
      <c r="S926" s="52"/>
      <c r="U926" s="202"/>
      <c r="V926" s="202"/>
      <c r="W926" s="202"/>
      <c r="X926" s="202"/>
      <c r="Y926" s="13"/>
      <c r="Z926" s="36"/>
      <c r="AA926" s="13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289"/>
      <c r="AO926" s="289"/>
      <c r="AP926" s="289"/>
      <c r="AQ926" s="36"/>
      <c r="AR926" s="283"/>
      <c r="AS926" s="13"/>
      <c r="AT926" s="13"/>
      <c r="AU926" s="32"/>
      <c r="AV926" s="277"/>
      <c r="AW926" s="277"/>
      <c r="AX926" s="277"/>
      <c r="AY926" s="280"/>
      <c r="AZ926" s="268"/>
      <c r="BA926" s="268"/>
      <c r="BB926" s="13"/>
      <c r="BC926" s="36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</row>
    <row r="927" spans="1:73">
      <c r="A927" s="13"/>
      <c r="B927" s="13"/>
      <c r="C927" s="13"/>
      <c r="D927" s="13"/>
      <c r="E927" s="13"/>
      <c r="F927" s="13"/>
      <c r="G927" s="36"/>
      <c r="H927" s="36"/>
      <c r="I927" s="36"/>
      <c r="J927" s="36"/>
      <c r="K927" s="36"/>
      <c r="L927" s="36"/>
      <c r="M927" s="36"/>
      <c r="N927" s="13"/>
      <c r="O927" s="202"/>
      <c r="P927" s="36"/>
      <c r="Q927" s="52"/>
      <c r="R927" s="52"/>
      <c r="S927" s="52"/>
      <c r="U927" s="202"/>
      <c r="V927" s="202"/>
      <c r="W927" s="202"/>
      <c r="X927" s="202"/>
      <c r="Y927" s="13"/>
      <c r="Z927" s="36"/>
      <c r="AA927" s="13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289"/>
      <c r="AO927" s="289"/>
      <c r="AP927" s="289"/>
      <c r="AQ927" s="36"/>
      <c r="AR927" s="283"/>
      <c r="AS927" s="13"/>
      <c r="AT927" s="13"/>
      <c r="AU927" s="32"/>
      <c r="AV927" s="277"/>
      <c r="AW927" s="277"/>
      <c r="AX927" s="277"/>
      <c r="AY927" s="280"/>
      <c r="AZ927" s="268"/>
      <c r="BA927" s="268"/>
      <c r="BB927" s="13"/>
      <c r="BC927" s="36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</row>
    <row r="928" spans="1:73">
      <c r="A928" s="13"/>
      <c r="B928" s="13"/>
      <c r="C928" s="13"/>
      <c r="D928" s="13"/>
      <c r="E928" s="13"/>
      <c r="F928" s="13"/>
      <c r="G928" s="36"/>
      <c r="H928" s="36"/>
      <c r="I928" s="36"/>
      <c r="J928" s="36"/>
      <c r="K928" s="36"/>
      <c r="L928" s="36"/>
      <c r="M928" s="36"/>
      <c r="N928" s="13"/>
      <c r="O928" s="202"/>
      <c r="P928" s="36"/>
      <c r="Q928" s="52"/>
      <c r="R928" s="52"/>
      <c r="S928" s="52"/>
      <c r="U928" s="202"/>
      <c r="V928" s="202"/>
      <c r="W928" s="202"/>
      <c r="X928" s="202"/>
      <c r="Y928" s="13"/>
      <c r="Z928" s="36"/>
      <c r="AA928" s="13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289"/>
      <c r="AO928" s="289"/>
      <c r="AP928" s="289"/>
      <c r="AQ928" s="36"/>
      <c r="AR928" s="283"/>
      <c r="AS928" s="13"/>
      <c r="AT928" s="13"/>
      <c r="AU928" s="32"/>
      <c r="AV928" s="277"/>
      <c r="AW928" s="277"/>
      <c r="AX928" s="277"/>
      <c r="AY928" s="280"/>
      <c r="AZ928" s="268"/>
      <c r="BA928" s="268"/>
      <c r="BB928" s="13"/>
      <c r="BC928" s="36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</row>
    <row r="929" spans="1:73">
      <c r="A929" s="13"/>
      <c r="B929" s="13"/>
      <c r="C929" s="13"/>
      <c r="D929" s="13"/>
      <c r="E929" s="13"/>
      <c r="F929" s="13"/>
      <c r="G929" s="36"/>
      <c r="H929" s="36"/>
      <c r="I929" s="36"/>
      <c r="J929" s="36"/>
      <c r="K929" s="36"/>
      <c r="L929" s="36"/>
      <c r="M929" s="36"/>
      <c r="N929" s="13"/>
      <c r="O929" s="202"/>
      <c r="P929" s="36"/>
      <c r="Q929" s="52"/>
      <c r="R929" s="52"/>
      <c r="S929" s="52"/>
      <c r="U929" s="202"/>
      <c r="V929" s="202"/>
      <c r="W929" s="202"/>
      <c r="X929" s="202"/>
      <c r="Y929" s="13"/>
      <c r="Z929" s="36"/>
      <c r="AA929" s="13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289"/>
      <c r="AO929" s="289"/>
      <c r="AP929" s="289"/>
      <c r="AQ929" s="36"/>
      <c r="AR929" s="283"/>
      <c r="AS929" s="13"/>
      <c r="AT929" s="13"/>
      <c r="AU929" s="32"/>
      <c r="AV929" s="277"/>
      <c r="AW929" s="277"/>
      <c r="AX929" s="277"/>
      <c r="AY929" s="280"/>
      <c r="AZ929" s="268"/>
      <c r="BA929" s="268"/>
      <c r="BB929" s="13"/>
      <c r="BC929" s="36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</row>
    <row r="930" spans="1:73">
      <c r="A930" s="13"/>
      <c r="B930" s="13"/>
      <c r="C930" s="13"/>
      <c r="D930" s="13"/>
      <c r="E930" s="13"/>
      <c r="F930" s="13"/>
      <c r="G930" s="36"/>
      <c r="H930" s="36"/>
      <c r="I930" s="36"/>
      <c r="J930" s="36"/>
      <c r="K930" s="36"/>
      <c r="L930" s="36"/>
      <c r="M930" s="36"/>
      <c r="N930" s="13"/>
      <c r="O930" s="202"/>
      <c r="P930" s="36"/>
      <c r="Q930" s="52"/>
      <c r="R930" s="52"/>
      <c r="S930" s="52"/>
      <c r="U930" s="202"/>
      <c r="V930" s="202"/>
      <c r="W930" s="202"/>
      <c r="X930" s="202"/>
      <c r="Y930" s="13"/>
      <c r="Z930" s="36"/>
      <c r="AA930" s="13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289"/>
      <c r="AO930" s="289"/>
      <c r="AP930" s="289"/>
      <c r="AQ930" s="36"/>
      <c r="AR930" s="283"/>
      <c r="AS930" s="13"/>
      <c r="AT930" s="13"/>
      <c r="AU930" s="32"/>
      <c r="AV930" s="277"/>
      <c r="AW930" s="277"/>
      <c r="AX930" s="277"/>
      <c r="AY930" s="280"/>
      <c r="AZ930" s="268"/>
      <c r="BA930" s="268"/>
      <c r="BB930" s="13"/>
      <c r="BC930" s="36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</row>
    <row r="931" spans="1:73">
      <c r="A931" s="13"/>
      <c r="B931" s="13"/>
      <c r="C931" s="13"/>
      <c r="D931" s="13"/>
      <c r="E931" s="13"/>
      <c r="F931" s="13"/>
      <c r="G931" s="36"/>
      <c r="H931" s="36"/>
      <c r="I931" s="36"/>
      <c r="J931" s="36"/>
      <c r="K931" s="36"/>
      <c r="L931" s="36"/>
      <c r="M931" s="36"/>
      <c r="N931" s="13"/>
      <c r="O931" s="202"/>
      <c r="P931" s="36"/>
      <c r="Q931" s="52"/>
      <c r="R931" s="52"/>
      <c r="S931" s="52"/>
      <c r="U931" s="202"/>
      <c r="V931" s="202"/>
      <c r="W931" s="202"/>
      <c r="X931" s="202"/>
      <c r="Y931" s="13"/>
      <c r="Z931" s="36"/>
      <c r="AA931" s="13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289"/>
      <c r="AO931" s="289"/>
      <c r="AP931" s="289"/>
      <c r="AQ931" s="36"/>
      <c r="AR931" s="283"/>
      <c r="AS931" s="13"/>
      <c r="AT931" s="13"/>
      <c r="AU931" s="32"/>
      <c r="AV931" s="277"/>
      <c r="AW931" s="277"/>
      <c r="AX931" s="277"/>
      <c r="AY931" s="280"/>
      <c r="AZ931" s="268"/>
      <c r="BA931" s="268"/>
      <c r="BB931" s="13"/>
      <c r="BC931" s="36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</row>
    <row r="932" spans="1:73">
      <c r="A932" s="13"/>
      <c r="B932" s="13"/>
      <c r="C932" s="13"/>
      <c r="D932" s="13"/>
      <c r="E932" s="13"/>
      <c r="F932" s="13"/>
      <c r="G932" s="36"/>
      <c r="H932" s="36"/>
      <c r="I932" s="36"/>
      <c r="J932" s="36"/>
      <c r="K932" s="36"/>
      <c r="L932" s="36"/>
      <c r="M932" s="36"/>
      <c r="N932" s="13"/>
      <c r="O932" s="202"/>
      <c r="P932" s="36"/>
      <c r="Q932" s="52"/>
      <c r="R932" s="52"/>
      <c r="S932" s="52"/>
      <c r="U932" s="202"/>
      <c r="V932" s="202"/>
      <c r="W932" s="202"/>
      <c r="X932" s="202"/>
      <c r="Y932" s="13"/>
      <c r="Z932" s="36"/>
      <c r="AA932" s="13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289"/>
      <c r="AO932" s="289"/>
      <c r="AP932" s="289"/>
      <c r="AQ932" s="36"/>
      <c r="AR932" s="283"/>
      <c r="AS932" s="13"/>
      <c r="AT932" s="13"/>
      <c r="AU932" s="32"/>
      <c r="AV932" s="277"/>
      <c r="AW932" s="277"/>
      <c r="AX932" s="277"/>
      <c r="AY932" s="280"/>
      <c r="AZ932" s="268"/>
      <c r="BA932" s="268"/>
      <c r="BB932" s="13"/>
      <c r="BC932" s="36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</row>
    <row r="933" spans="1:73">
      <c r="A933" s="13"/>
      <c r="B933" s="13"/>
      <c r="C933" s="13"/>
      <c r="D933" s="13"/>
      <c r="E933" s="13"/>
      <c r="F933" s="13"/>
      <c r="G933" s="36"/>
      <c r="H933" s="36"/>
      <c r="I933" s="36"/>
      <c r="J933" s="36"/>
      <c r="K933" s="36"/>
      <c r="L933" s="36"/>
      <c r="M933" s="36"/>
      <c r="N933" s="13"/>
      <c r="O933" s="202"/>
      <c r="P933" s="36"/>
      <c r="Q933" s="52"/>
      <c r="R933" s="52"/>
      <c r="S933" s="52"/>
      <c r="U933" s="202"/>
      <c r="V933" s="202"/>
      <c r="W933" s="202"/>
      <c r="X933" s="202"/>
      <c r="Y933" s="13"/>
      <c r="Z933" s="36"/>
      <c r="AA933" s="13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289"/>
      <c r="AO933" s="289"/>
      <c r="AP933" s="289"/>
      <c r="AQ933" s="36"/>
      <c r="AR933" s="283"/>
      <c r="AS933" s="13"/>
      <c r="AT933" s="13"/>
      <c r="AU933" s="32"/>
      <c r="AV933" s="277"/>
      <c r="AW933" s="277"/>
      <c r="AX933" s="277"/>
      <c r="AY933" s="280"/>
      <c r="AZ933" s="268"/>
      <c r="BA933" s="268"/>
      <c r="BB933" s="13"/>
      <c r="BC933" s="36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</row>
    <row r="934" spans="1:73">
      <c r="A934" s="13"/>
      <c r="B934" s="13"/>
      <c r="C934" s="13"/>
      <c r="D934" s="13"/>
      <c r="E934" s="13"/>
      <c r="F934" s="13"/>
      <c r="G934" s="36"/>
      <c r="H934" s="36"/>
      <c r="I934" s="36"/>
      <c r="J934" s="36"/>
      <c r="K934" s="36"/>
      <c r="L934" s="36"/>
      <c r="M934" s="36"/>
      <c r="N934" s="13"/>
      <c r="O934" s="202"/>
      <c r="P934" s="36"/>
      <c r="Q934" s="52"/>
      <c r="R934" s="52"/>
      <c r="S934" s="52"/>
      <c r="U934" s="202"/>
      <c r="V934" s="202"/>
      <c r="W934" s="202"/>
      <c r="X934" s="202"/>
      <c r="Y934" s="13"/>
      <c r="Z934" s="36"/>
      <c r="AA934" s="13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289"/>
      <c r="AO934" s="289"/>
      <c r="AP934" s="289"/>
      <c r="AQ934" s="36"/>
      <c r="AR934" s="283"/>
      <c r="AS934" s="13"/>
      <c r="AT934" s="13"/>
      <c r="AU934" s="32"/>
      <c r="AV934" s="277"/>
      <c r="AW934" s="277"/>
      <c r="AX934" s="277"/>
      <c r="AY934" s="280"/>
      <c r="AZ934" s="268"/>
      <c r="BA934" s="268"/>
      <c r="BB934" s="13"/>
      <c r="BC934" s="36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</row>
    <row r="935" spans="1:73">
      <c r="A935" s="13"/>
      <c r="B935" s="13"/>
      <c r="C935" s="13"/>
      <c r="D935" s="13"/>
      <c r="E935" s="13"/>
      <c r="F935" s="13"/>
      <c r="G935" s="36"/>
      <c r="H935" s="36"/>
      <c r="I935" s="36"/>
      <c r="J935" s="36"/>
      <c r="K935" s="36"/>
      <c r="L935" s="36"/>
      <c r="M935" s="36"/>
      <c r="N935" s="13"/>
      <c r="O935" s="202"/>
      <c r="P935" s="36"/>
      <c r="Q935" s="52"/>
      <c r="R935" s="52"/>
      <c r="S935" s="52"/>
      <c r="U935" s="202"/>
      <c r="V935" s="202"/>
      <c r="W935" s="202"/>
      <c r="X935" s="202"/>
      <c r="Y935" s="13"/>
      <c r="Z935" s="36"/>
      <c r="AA935" s="13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289"/>
      <c r="AO935" s="289"/>
      <c r="AP935" s="289"/>
      <c r="AQ935" s="36"/>
      <c r="AR935" s="283"/>
      <c r="AS935" s="13"/>
      <c r="AT935" s="13"/>
      <c r="AU935" s="32"/>
      <c r="AV935" s="277"/>
      <c r="AW935" s="277"/>
      <c r="AX935" s="277"/>
      <c r="AY935" s="280"/>
      <c r="AZ935" s="268"/>
      <c r="BA935" s="268"/>
      <c r="BB935" s="13"/>
      <c r="BC935" s="36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</row>
    <row r="936" spans="1:73">
      <c r="A936" s="13"/>
      <c r="B936" s="13"/>
      <c r="C936" s="13"/>
      <c r="D936" s="13"/>
      <c r="E936" s="13"/>
      <c r="F936" s="13"/>
      <c r="G936" s="36"/>
      <c r="H936" s="36"/>
      <c r="I936" s="36"/>
      <c r="J936" s="36"/>
      <c r="K936" s="36"/>
      <c r="L936" s="36"/>
      <c r="M936" s="36"/>
      <c r="N936" s="13"/>
      <c r="O936" s="202"/>
      <c r="P936" s="36"/>
      <c r="Q936" s="52"/>
      <c r="R936" s="52"/>
      <c r="S936" s="52"/>
      <c r="U936" s="202"/>
      <c r="V936" s="202"/>
      <c r="W936" s="202"/>
      <c r="X936" s="202"/>
      <c r="Y936" s="13"/>
      <c r="Z936" s="36"/>
      <c r="AA936" s="13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289"/>
      <c r="AO936" s="289"/>
      <c r="AP936" s="289"/>
      <c r="AQ936" s="36"/>
      <c r="AR936" s="283"/>
      <c r="AS936" s="13"/>
      <c r="AT936" s="13"/>
      <c r="AU936" s="32"/>
      <c r="AV936" s="277"/>
      <c r="AW936" s="277"/>
      <c r="AX936" s="277"/>
      <c r="AY936" s="280"/>
      <c r="AZ936" s="268"/>
      <c r="BA936" s="268"/>
      <c r="BB936" s="13"/>
      <c r="BC936" s="36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</row>
    <row r="937" spans="1:73">
      <c r="A937" s="13"/>
      <c r="B937" s="13"/>
      <c r="C937" s="13"/>
      <c r="D937" s="13"/>
      <c r="E937" s="13"/>
      <c r="F937" s="13"/>
      <c r="G937" s="36"/>
      <c r="H937" s="36"/>
      <c r="I937" s="36"/>
      <c r="J937" s="36"/>
      <c r="K937" s="36"/>
      <c r="L937" s="36"/>
      <c r="M937" s="36"/>
      <c r="N937" s="13"/>
      <c r="O937" s="202"/>
      <c r="P937" s="36"/>
      <c r="Q937" s="52"/>
      <c r="R937" s="52"/>
      <c r="S937" s="52"/>
      <c r="U937" s="202"/>
      <c r="V937" s="202"/>
      <c r="W937" s="202"/>
      <c r="X937" s="202"/>
      <c r="Y937" s="13"/>
      <c r="Z937" s="36"/>
      <c r="AA937" s="13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289"/>
      <c r="AO937" s="289"/>
      <c r="AP937" s="289"/>
      <c r="AQ937" s="36"/>
      <c r="AR937" s="283"/>
      <c r="AS937" s="13"/>
      <c r="AT937" s="13"/>
      <c r="AU937" s="32"/>
      <c r="AV937" s="277"/>
      <c r="AW937" s="277"/>
      <c r="AX937" s="277"/>
      <c r="AY937" s="280"/>
      <c r="AZ937" s="268"/>
      <c r="BA937" s="268"/>
      <c r="BB937" s="13"/>
      <c r="BC937" s="36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</row>
    <row r="938" spans="1:73">
      <c r="A938" s="13"/>
      <c r="B938" s="13"/>
      <c r="C938" s="13"/>
      <c r="D938" s="13"/>
      <c r="E938" s="13"/>
      <c r="F938" s="13"/>
      <c r="G938" s="36"/>
      <c r="H938" s="36"/>
      <c r="I938" s="36"/>
      <c r="J938" s="36"/>
      <c r="K938" s="36"/>
      <c r="L938" s="36"/>
      <c r="M938" s="36"/>
      <c r="N938" s="13"/>
      <c r="O938" s="202"/>
      <c r="P938" s="36"/>
      <c r="Q938" s="52"/>
      <c r="R938" s="52"/>
      <c r="S938" s="52"/>
      <c r="U938" s="202"/>
      <c r="V938" s="202"/>
      <c r="W938" s="202"/>
      <c r="X938" s="202"/>
      <c r="Y938" s="13"/>
      <c r="Z938" s="36"/>
      <c r="AA938" s="13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289"/>
      <c r="AO938" s="289"/>
      <c r="AP938" s="289"/>
      <c r="AQ938" s="36"/>
      <c r="AR938" s="283"/>
      <c r="AS938" s="13"/>
      <c r="AT938" s="13"/>
      <c r="AU938" s="32"/>
      <c r="AV938" s="277"/>
      <c r="AW938" s="277"/>
      <c r="AX938" s="277"/>
      <c r="AY938" s="280"/>
      <c r="AZ938" s="268"/>
      <c r="BA938" s="268"/>
      <c r="BB938" s="13"/>
      <c r="BC938" s="36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</row>
    <row r="939" spans="1:73">
      <c r="A939" s="13"/>
      <c r="B939" s="13"/>
      <c r="C939" s="13"/>
      <c r="D939" s="13"/>
      <c r="E939" s="13"/>
      <c r="F939" s="13"/>
      <c r="G939" s="36"/>
      <c r="H939" s="36"/>
      <c r="I939" s="36"/>
      <c r="J939" s="36"/>
      <c r="K939" s="36"/>
      <c r="L939" s="36"/>
      <c r="M939" s="36"/>
      <c r="N939" s="13"/>
      <c r="O939" s="202"/>
      <c r="P939" s="36"/>
      <c r="Q939" s="52"/>
      <c r="R939" s="52"/>
      <c r="S939" s="52"/>
      <c r="U939" s="202"/>
      <c r="V939" s="202"/>
      <c r="W939" s="202"/>
      <c r="X939" s="202"/>
      <c r="Y939" s="13"/>
      <c r="Z939" s="36"/>
      <c r="AA939" s="13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289"/>
      <c r="AO939" s="289"/>
      <c r="AP939" s="289"/>
      <c r="AQ939" s="36"/>
      <c r="AR939" s="283"/>
      <c r="AS939" s="13"/>
      <c r="AT939" s="13"/>
      <c r="AU939" s="32"/>
      <c r="AV939" s="277"/>
      <c r="AW939" s="277"/>
      <c r="AX939" s="277"/>
      <c r="AY939" s="280"/>
      <c r="AZ939" s="268"/>
      <c r="BA939" s="268"/>
      <c r="BB939" s="13"/>
      <c r="BC939" s="36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</row>
    <row r="940" spans="1:73">
      <c r="A940" s="13"/>
      <c r="B940" s="13"/>
      <c r="C940" s="13"/>
      <c r="D940" s="13"/>
      <c r="E940" s="13"/>
      <c r="F940" s="13"/>
      <c r="G940" s="36"/>
      <c r="H940" s="36"/>
      <c r="I940" s="36"/>
      <c r="J940" s="36"/>
      <c r="K940" s="36"/>
      <c r="L940" s="36"/>
      <c r="M940" s="36"/>
      <c r="N940" s="13"/>
      <c r="O940" s="202"/>
      <c r="P940" s="36"/>
      <c r="Q940" s="52"/>
      <c r="R940" s="52"/>
      <c r="S940" s="52"/>
      <c r="U940" s="202"/>
      <c r="V940" s="202"/>
      <c r="W940" s="202"/>
      <c r="X940" s="202"/>
      <c r="Y940" s="13"/>
      <c r="Z940" s="36"/>
      <c r="AA940" s="13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289"/>
      <c r="AO940" s="289"/>
      <c r="AP940" s="289"/>
      <c r="AQ940" s="36"/>
      <c r="AR940" s="283"/>
      <c r="AS940" s="13"/>
      <c r="AT940" s="13"/>
      <c r="AU940" s="32"/>
      <c r="AV940" s="277"/>
      <c r="AW940" s="277"/>
      <c r="AX940" s="277"/>
      <c r="AY940" s="280"/>
      <c r="AZ940" s="268"/>
      <c r="BA940" s="268"/>
      <c r="BB940" s="13"/>
      <c r="BC940" s="36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</row>
    <row r="941" spans="1:73">
      <c r="A941" s="13"/>
      <c r="B941" s="13"/>
      <c r="C941" s="13"/>
      <c r="D941" s="13"/>
      <c r="E941" s="13"/>
      <c r="F941" s="13"/>
      <c r="G941" s="36"/>
      <c r="H941" s="36"/>
      <c r="I941" s="36"/>
      <c r="J941" s="36"/>
      <c r="K941" s="36"/>
      <c r="L941" s="36"/>
      <c r="M941" s="36"/>
      <c r="N941" s="13"/>
      <c r="O941" s="202"/>
      <c r="P941" s="36"/>
      <c r="Q941" s="52"/>
      <c r="R941" s="52"/>
      <c r="S941" s="52"/>
      <c r="U941" s="202"/>
      <c r="V941" s="202"/>
      <c r="W941" s="202"/>
      <c r="X941" s="202"/>
      <c r="Y941" s="13"/>
      <c r="Z941" s="36"/>
      <c r="AA941" s="13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289"/>
      <c r="AO941" s="289"/>
      <c r="AP941" s="289"/>
      <c r="AQ941" s="36"/>
      <c r="AR941" s="283"/>
      <c r="AS941" s="13"/>
      <c r="AT941" s="13"/>
      <c r="AU941" s="32"/>
      <c r="AV941" s="277"/>
      <c r="AW941" s="277"/>
      <c r="AX941" s="277"/>
      <c r="AY941" s="280"/>
      <c r="AZ941" s="268"/>
      <c r="BA941" s="268"/>
      <c r="BB941" s="13"/>
      <c r="BC941" s="36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</row>
    <row r="942" spans="1:73">
      <c r="A942" s="13"/>
      <c r="B942" s="13"/>
      <c r="C942" s="13"/>
      <c r="D942" s="13"/>
      <c r="E942" s="13"/>
      <c r="F942" s="13"/>
      <c r="G942" s="36"/>
      <c r="H942" s="36"/>
      <c r="I942" s="36"/>
      <c r="J942" s="36"/>
      <c r="K942" s="36"/>
      <c r="L942" s="36"/>
      <c r="M942" s="36"/>
      <c r="N942" s="13"/>
      <c r="O942" s="202"/>
      <c r="P942" s="36"/>
      <c r="Q942" s="52"/>
      <c r="R942" s="52"/>
      <c r="S942" s="52"/>
      <c r="U942" s="202"/>
      <c r="V942" s="202"/>
      <c r="W942" s="202"/>
      <c r="X942" s="202"/>
      <c r="Y942" s="13"/>
      <c r="Z942" s="36"/>
      <c r="AA942" s="13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289"/>
      <c r="AO942" s="289"/>
      <c r="AP942" s="289"/>
      <c r="AQ942" s="36"/>
      <c r="AR942" s="283"/>
      <c r="AS942" s="13"/>
      <c r="AT942" s="13"/>
      <c r="AU942" s="32"/>
      <c r="AV942" s="277"/>
      <c r="AW942" s="277"/>
      <c r="AX942" s="277"/>
      <c r="AY942" s="280"/>
      <c r="AZ942" s="268"/>
      <c r="BA942" s="268"/>
      <c r="BB942" s="13"/>
      <c r="BC942" s="36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</row>
    <row r="943" spans="1:73">
      <c r="A943" s="13"/>
      <c r="B943" s="13"/>
      <c r="C943" s="13"/>
      <c r="D943" s="13"/>
      <c r="E943" s="13"/>
      <c r="F943" s="13"/>
      <c r="G943" s="36"/>
      <c r="H943" s="36"/>
      <c r="I943" s="36"/>
      <c r="J943" s="36"/>
      <c r="K943" s="36"/>
      <c r="L943" s="36"/>
      <c r="M943" s="36"/>
      <c r="N943" s="13"/>
      <c r="O943" s="202"/>
      <c r="P943" s="36"/>
      <c r="Q943" s="52"/>
      <c r="R943" s="52"/>
      <c r="S943" s="52"/>
      <c r="U943" s="202"/>
      <c r="V943" s="202"/>
      <c r="W943" s="202"/>
      <c r="X943" s="202"/>
      <c r="Y943" s="13"/>
      <c r="Z943" s="36"/>
      <c r="AA943" s="13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289"/>
      <c r="AO943" s="289"/>
      <c r="AP943" s="289"/>
      <c r="AQ943" s="36"/>
      <c r="AR943" s="283"/>
      <c r="AS943" s="13"/>
      <c r="AT943" s="13"/>
      <c r="AU943" s="32"/>
      <c r="AV943" s="277"/>
      <c r="AW943" s="277"/>
      <c r="AX943" s="277"/>
      <c r="AY943" s="280"/>
      <c r="AZ943" s="268"/>
      <c r="BA943" s="268"/>
      <c r="BB943" s="13"/>
      <c r="BC943" s="36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</row>
    <row r="944" spans="1:73">
      <c r="A944" s="13"/>
      <c r="B944" s="13"/>
      <c r="C944" s="13"/>
      <c r="D944" s="13"/>
      <c r="E944" s="13"/>
      <c r="F944" s="13"/>
      <c r="G944" s="36"/>
      <c r="H944" s="36"/>
      <c r="I944" s="36"/>
      <c r="J944" s="36"/>
      <c r="K944" s="36"/>
      <c r="L944" s="36"/>
      <c r="M944" s="36"/>
      <c r="N944" s="13"/>
      <c r="O944" s="202"/>
      <c r="P944" s="36"/>
      <c r="Q944" s="52"/>
      <c r="R944" s="52"/>
      <c r="S944" s="52"/>
      <c r="U944" s="202"/>
      <c r="V944" s="202"/>
      <c r="W944" s="202"/>
      <c r="X944" s="202"/>
      <c r="Y944" s="13"/>
      <c r="Z944" s="36"/>
      <c r="AA944" s="13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289"/>
      <c r="AO944" s="289"/>
      <c r="AP944" s="289"/>
      <c r="AQ944" s="36"/>
      <c r="AR944" s="283"/>
      <c r="AS944" s="13"/>
      <c r="AT944" s="13"/>
      <c r="AU944" s="32"/>
      <c r="AV944" s="277"/>
      <c r="AW944" s="277"/>
      <c r="AX944" s="277"/>
      <c r="AY944" s="280"/>
      <c r="AZ944" s="268"/>
      <c r="BA944" s="268"/>
      <c r="BB944" s="13"/>
      <c r="BC944" s="36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</row>
    <row r="945" spans="1:73">
      <c r="A945" s="13"/>
      <c r="B945" s="13"/>
      <c r="C945" s="13"/>
      <c r="D945" s="13"/>
      <c r="E945" s="13"/>
      <c r="F945" s="13"/>
      <c r="G945" s="36"/>
      <c r="H945" s="36"/>
      <c r="I945" s="36"/>
      <c r="J945" s="36"/>
      <c r="K945" s="36"/>
      <c r="L945" s="36"/>
      <c r="M945" s="36"/>
      <c r="N945" s="13"/>
      <c r="O945" s="202"/>
      <c r="P945" s="36"/>
      <c r="Q945" s="52"/>
      <c r="R945" s="52"/>
      <c r="S945" s="52"/>
      <c r="U945" s="202"/>
      <c r="V945" s="202"/>
      <c r="W945" s="202"/>
      <c r="X945" s="202"/>
      <c r="Y945" s="13"/>
      <c r="Z945" s="36"/>
      <c r="AA945" s="13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289"/>
      <c r="AO945" s="289"/>
      <c r="AP945" s="289"/>
      <c r="AQ945" s="36"/>
      <c r="AR945" s="283"/>
      <c r="AS945" s="13"/>
      <c r="AT945" s="13"/>
      <c r="AU945" s="32"/>
      <c r="AV945" s="277"/>
      <c r="AW945" s="277"/>
      <c r="AX945" s="277"/>
      <c r="AY945" s="280"/>
      <c r="AZ945" s="268"/>
      <c r="BA945" s="268"/>
      <c r="BB945" s="13"/>
      <c r="BC945" s="36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</row>
    <row r="946" spans="1:73">
      <c r="A946" s="13"/>
      <c r="B946" s="13"/>
      <c r="C946" s="13"/>
      <c r="D946" s="13"/>
      <c r="E946" s="13"/>
      <c r="F946" s="13"/>
      <c r="G946" s="36"/>
      <c r="H946" s="36"/>
      <c r="I946" s="36"/>
      <c r="J946" s="36"/>
      <c r="K946" s="36"/>
      <c r="L946" s="36"/>
      <c r="M946" s="36"/>
      <c r="N946" s="13"/>
      <c r="O946" s="202"/>
      <c r="P946" s="36"/>
      <c r="Q946" s="52"/>
      <c r="R946" s="52"/>
      <c r="S946" s="52"/>
      <c r="U946" s="202"/>
      <c r="V946" s="202"/>
      <c r="W946" s="202"/>
      <c r="X946" s="202"/>
      <c r="Y946" s="13"/>
      <c r="Z946" s="36"/>
      <c r="AA946" s="13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289"/>
      <c r="AO946" s="289"/>
      <c r="AP946" s="289"/>
      <c r="AQ946" s="36"/>
      <c r="AR946" s="283"/>
      <c r="AS946" s="13"/>
      <c r="AT946" s="13"/>
      <c r="AU946" s="32"/>
      <c r="AV946" s="277"/>
      <c r="AW946" s="277"/>
      <c r="AX946" s="277"/>
      <c r="AY946" s="280"/>
      <c r="AZ946" s="268"/>
      <c r="BA946" s="268"/>
      <c r="BB946" s="13"/>
      <c r="BC946" s="36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</row>
    <row r="947" spans="1:73">
      <c r="A947" s="13"/>
      <c r="B947" s="13"/>
      <c r="C947" s="13"/>
      <c r="D947" s="13"/>
      <c r="E947" s="13"/>
      <c r="F947" s="13"/>
      <c r="G947" s="36"/>
      <c r="H947" s="36"/>
      <c r="I947" s="36"/>
      <c r="J947" s="36"/>
      <c r="K947" s="36"/>
      <c r="L947" s="36"/>
      <c r="M947" s="36"/>
      <c r="N947" s="13"/>
      <c r="O947" s="202"/>
      <c r="P947" s="36"/>
      <c r="Q947" s="52"/>
      <c r="R947" s="52"/>
      <c r="S947" s="52"/>
      <c r="U947" s="202"/>
      <c r="V947" s="202"/>
      <c r="W947" s="202"/>
      <c r="X947" s="202"/>
      <c r="Y947" s="13"/>
      <c r="Z947" s="36"/>
      <c r="AA947" s="13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289"/>
      <c r="AO947" s="289"/>
      <c r="AP947" s="289"/>
      <c r="AQ947" s="36"/>
      <c r="AR947" s="283"/>
      <c r="AS947" s="13"/>
      <c r="AT947" s="13"/>
      <c r="AU947" s="32"/>
      <c r="AV947" s="277"/>
      <c r="AW947" s="277"/>
      <c r="AX947" s="277"/>
      <c r="AY947" s="280"/>
      <c r="AZ947" s="268"/>
      <c r="BA947" s="268"/>
      <c r="BB947" s="13"/>
      <c r="BC947" s="36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</row>
    <row r="948" spans="1:73">
      <c r="A948" s="13"/>
      <c r="B948" s="13"/>
      <c r="C948" s="13"/>
      <c r="D948" s="13"/>
      <c r="E948" s="13"/>
      <c r="F948" s="13"/>
      <c r="G948" s="36"/>
      <c r="H948" s="36"/>
      <c r="I948" s="36"/>
      <c r="J948" s="36"/>
      <c r="K948" s="36"/>
      <c r="L948" s="36"/>
      <c r="M948" s="36"/>
      <c r="N948" s="13"/>
      <c r="O948" s="202"/>
      <c r="P948" s="36"/>
      <c r="Q948" s="52"/>
      <c r="R948" s="52"/>
      <c r="S948" s="52"/>
      <c r="U948" s="202"/>
      <c r="V948" s="202"/>
      <c r="W948" s="202"/>
      <c r="X948" s="202"/>
      <c r="Y948" s="13"/>
      <c r="Z948" s="36"/>
      <c r="AA948" s="13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289"/>
      <c r="AO948" s="289"/>
      <c r="AP948" s="289"/>
      <c r="AQ948" s="36"/>
      <c r="AR948" s="283"/>
      <c r="AS948" s="13"/>
      <c r="AT948" s="13"/>
      <c r="AU948" s="32"/>
      <c r="AV948" s="277"/>
      <c r="AW948" s="277"/>
      <c r="AX948" s="277"/>
      <c r="AY948" s="280"/>
      <c r="AZ948" s="268"/>
      <c r="BA948" s="268"/>
      <c r="BB948" s="13"/>
      <c r="BC948" s="36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</row>
    <row r="949" spans="1:73">
      <c r="A949" s="13"/>
      <c r="B949" s="13"/>
      <c r="C949" s="13"/>
      <c r="D949" s="13"/>
      <c r="E949" s="13"/>
      <c r="F949" s="13"/>
      <c r="G949" s="36"/>
      <c r="H949" s="36"/>
      <c r="I949" s="36"/>
      <c r="J949" s="36"/>
      <c r="K949" s="36"/>
      <c r="L949" s="36"/>
      <c r="M949" s="36"/>
      <c r="N949" s="13"/>
      <c r="O949" s="202"/>
      <c r="P949" s="36"/>
      <c r="Q949" s="52"/>
      <c r="R949" s="52"/>
      <c r="S949" s="52"/>
      <c r="U949" s="202"/>
      <c r="V949" s="202"/>
      <c r="W949" s="202"/>
      <c r="X949" s="202"/>
      <c r="Y949" s="13"/>
      <c r="Z949" s="36"/>
      <c r="AA949" s="13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289"/>
      <c r="AO949" s="289"/>
      <c r="AP949" s="289"/>
      <c r="AQ949" s="36"/>
      <c r="AR949" s="283"/>
      <c r="AS949" s="13"/>
      <c r="AT949" s="13"/>
      <c r="AU949" s="32"/>
      <c r="AV949" s="277"/>
      <c r="AW949" s="277"/>
      <c r="AX949" s="277"/>
      <c r="AY949" s="280"/>
      <c r="AZ949" s="268"/>
      <c r="BA949" s="268"/>
      <c r="BB949" s="13"/>
      <c r="BC949" s="36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</row>
    <row r="950" spans="1:73">
      <c r="A950" s="13"/>
      <c r="B950" s="13"/>
      <c r="C950" s="13"/>
      <c r="D950" s="13"/>
      <c r="E950" s="13"/>
      <c r="F950" s="13"/>
      <c r="G950" s="36"/>
      <c r="H950" s="36"/>
      <c r="I950" s="36"/>
      <c r="J950" s="36"/>
      <c r="K950" s="36"/>
      <c r="L950" s="36"/>
      <c r="M950" s="36"/>
      <c r="N950" s="13"/>
      <c r="O950" s="202"/>
      <c r="P950" s="36"/>
      <c r="Q950" s="52"/>
      <c r="R950" s="52"/>
      <c r="S950" s="52"/>
      <c r="U950" s="202"/>
      <c r="V950" s="202"/>
      <c r="W950" s="202"/>
      <c r="X950" s="202"/>
      <c r="Y950" s="13"/>
      <c r="Z950" s="36"/>
      <c r="AA950" s="13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289"/>
      <c r="AO950" s="289"/>
      <c r="AP950" s="289"/>
      <c r="AQ950" s="36"/>
      <c r="AR950" s="283"/>
      <c r="AS950" s="13"/>
      <c r="AT950" s="13"/>
      <c r="AU950" s="32"/>
      <c r="AV950" s="277"/>
      <c r="AW950" s="277"/>
      <c r="AX950" s="277"/>
      <c r="AY950" s="280"/>
      <c r="AZ950" s="268"/>
      <c r="BA950" s="268"/>
      <c r="BB950" s="13"/>
      <c r="BC950" s="36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</row>
    <row r="951" spans="1:73">
      <c r="A951" s="13"/>
      <c r="B951" s="13"/>
      <c r="C951" s="13"/>
      <c r="D951" s="13"/>
      <c r="E951" s="13"/>
      <c r="F951" s="13"/>
      <c r="G951" s="36"/>
      <c r="H951" s="36"/>
      <c r="I951" s="36"/>
      <c r="J951" s="36"/>
      <c r="K951" s="36"/>
      <c r="L951" s="36"/>
      <c r="M951" s="36"/>
      <c r="N951" s="13"/>
      <c r="O951" s="202"/>
      <c r="P951" s="36"/>
      <c r="Q951" s="52"/>
      <c r="R951" s="52"/>
      <c r="S951" s="52"/>
      <c r="U951" s="202"/>
      <c r="V951" s="202"/>
      <c r="W951" s="202"/>
      <c r="X951" s="202"/>
      <c r="Y951" s="13"/>
      <c r="Z951" s="36"/>
      <c r="AA951" s="13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289"/>
      <c r="AO951" s="289"/>
      <c r="AP951" s="289"/>
      <c r="AQ951" s="36"/>
      <c r="AR951" s="283"/>
      <c r="AS951" s="13"/>
      <c r="AT951" s="13"/>
      <c r="AU951" s="32"/>
      <c r="AV951" s="277"/>
      <c r="AW951" s="277"/>
      <c r="AX951" s="277"/>
      <c r="AY951" s="280"/>
      <c r="AZ951" s="268"/>
      <c r="BA951" s="268"/>
      <c r="BB951" s="13"/>
      <c r="BC951" s="36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</row>
    <row r="952" spans="1:73">
      <c r="A952" s="13"/>
      <c r="B952" s="13"/>
      <c r="C952" s="13"/>
      <c r="D952" s="13"/>
      <c r="E952" s="13"/>
      <c r="F952" s="13"/>
      <c r="G952" s="36"/>
      <c r="H952" s="36"/>
      <c r="I952" s="36"/>
      <c r="J952" s="36"/>
      <c r="K952" s="36"/>
      <c r="L952" s="36"/>
      <c r="M952" s="36"/>
      <c r="N952" s="13"/>
      <c r="O952" s="202"/>
      <c r="P952" s="36"/>
      <c r="Q952" s="52"/>
      <c r="R952" s="52"/>
      <c r="S952" s="52"/>
      <c r="U952" s="202"/>
      <c r="V952" s="202"/>
      <c r="W952" s="202"/>
      <c r="X952" s="202"/>
      <c r="Y952" s="13"/>
      <c r="Z952" s="36"/>
      <c r="AA952" s="13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289"/>
      <c r="AO952" s="289"/>
      <c r="AP952" s="289"/>
      <c r="AQ952" s="36"/>
      <c r="AR952" s="283"/>
      <c r="AS952" s="13"/>
      <c r="AT952" s="13"/>
      <c r="AU952" s="32"/>
      <c r="AV952" s="277"/>
      <c r="AW952" s="277"/>
      <c r="AX952" s="277"/>
      <c r="AY952" s="280"/>
      <c r="AZ952" s="268"/>
      <c r="BA952" s="268"/>
      <c r="BB952" s="13"/>
      <c r="BC952" s="36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</row>
    <row r="953" spans="1:73">
      <c r="A953" s="13"/>
      <c r="B953" s="13"/>
      <c r="C953" s="13"/>
      <c r="D953" s="13"/>
      <c r="E953" s="13"/>
      <c r="F953" s="13"/>
      <c r="G953" s="36"/>
      <c r="H953" s="36"/>
      <c r="I953" s="36"/>
      <c r="J953" s="36"/>
      <c r="K953" s="36"/>
      <c r="L953" s="36"/>
      <c r="M953" s="36"/>
      <c r="N953" s="13"/>
      <c r="O953" s="202"/>
      <c r="P953" s="36"/>
      <c r="Q953" s="52"/>
      <c r="R953" s="52"/>
      <c r="S953" s="52"/>
      <c r="U953" s="202"/>
      <c r="V953" s="202"/>
      <c r="W953" s="202"/>
      <c r="X953" s="202"/>
      <c r="Y953" s="13"/>
      <c r="Z953" s="36"/>
      <c r="AA953" s="13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289"/>
      <c r="AO953" s="289"/>
      <c r="AP953" s="289"/>
      <c r="AQ953" s="36"/>
      <c r="AR953" s="283"/>
      <c r="AS953" s="13"/>
      <c r="AT953" s="13"/>
      <c r="AU953" s="32"/>
      <c r="AV953" s="277"/>
      <c r="AW953" s="277"/>
      <c r="AX953" s="277"/>
      <c r="AY953" s="280"/>
      <c r="AZ953" s="268"/>
      <c r="BA953" s="268"/>
      <c r="BB953" s="13"/>
      <c r="BC953" s="36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</row>
    <row r="954" spans="1:73">
      <c r="A954" s="13"/>
      <c r="B954" s="13"/>
      <c r="C954" s="13"/>
      <c r="D954" s="13"/>
      <c r="E954" s="13"/>
      <c r="F954" s="13"/>
      <c r="G954" s="36"/>
      <c r="H954" s="36"/>
      <c r="I954" s="36"/>
      <c r="J954" s="36"/>
      <c r="K954" s="36"/>
      <c r="L954" s="36"/>
      <c r="M954" s="36"/>
      <c r="N954" s="13"/>
      <c r="O954" s="202"/>
      <c r="P954" s="36"/>
      <c r="Q954" s="52"/>
      <c r="R954" s="52"/>
      <c r="S954" s="52"/>
      <c r="U954" s="202"/>
      <c r="V954" s="202"/>
      <c r="W954" s="202"/>
      <c r="X954" s="202"/>
      <c r="Y954" s="13"/>
      <c r="Z954" s="36"/>
      <c r="AA954" s="13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289"/>
      <c r="AO954" s="289"/>
      <c r="AP954" s="289"/>
      <c r="AQ954" s="36"/>
      <c r="AR954" s="283"/>
      <c r="AS954" s="13"/>
      <c r="AT954" s="13"/>
      <c r="AU954" s="32"/>
      <c r="AV954" s="277"/>
      <c r="AW954" s="277"/>
      <c r="AX954" s="277"/>
      <c r="AY954" s="280"/>
      <c r="AZ954" s="268"/>
      <c r="BA954" s="268"/>
      <c r="BB954" s="13"/>
      <c r="BC954" s="36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</row>
    <row r="955" spans="1:73">
      <c r="A955" s="13"/>
      <c r="B955" s="13"/>
      <c r="C955" s="13"/>
      <c r="D955" s="13"/>
      <c r="E955" s="13"/>
      <c r="F955" s="13"/>
      <c r="G955" s="36"/>
      <c r="H955" s="36"/>
      <c r="I955" s="36"/>
      <c r="J955" s="36"/>
      <c r="K955" s="36"/>
      <c r="L955" s="36"/>
      <c r="M955" s="36"/>
      <c r="N955" s="13"/>
      <c r="O955" s="202"/>
      <c r="P955" s="36"/>
      <c r="Q955" s="52"/>
      <c r="R955" s="52"/>
      <c r="S955" s="52"/>
      <c r="U955" s="202"/>
      <c r="V955" s="202"/>
      <c r="W955" s="202"/>
      <c r="X955" s="202"/>
      <c r="Y955" s="13"/>
      <c r="Z955" s="36"/>
      <c r="AA955" s="13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289"/>
      <c r="AO955" s="289"/>
      <c r="AP955" s="289"/>
      <c r="AQ955" s="36"/>
      <c r="AR955" s="283"/>
      <c r="AS955" s="13"/>
      <c r="AT955" s="13"/>
      <c r="AU955" s="32"/>
      <c r="AV955" s="277"/>
      <c r="AW955" s="277"/>
      <c r="AX955" s="277"/>
      <c r="AY955" s="280"/>
      <c r="AZ955" s="268"/>
      <c r="BA955" s="268"/>
      <c r="BB955" s="13"/>
      <c r="BC955" s="36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</row>
    <row r="956" spans="1:73">
      <c r="A956" s="13"/>
      <c r="B956" s="13"/>
      <c r="C956" s="13"/>
      <c r="D956" s="13"/>
      <c r="E956" s="13"/>
      <c r="F956" s="13"/>
      <c r="G956" s="36"/>
      <c r="H956" s="36"/>
      <c r="I956" s="36"/>
      <c r="J956" s="36"/>
      <c r="K956" s="36"/>
      <c r="L956" s="36"/>
      <c r="M956" s="36"/>
      <c r="N956" s="13"/>
      <c r="O956" s="202"/>
      <c r="P956" s="36"/>
      <c r="Q956" s="52"/>
      <c r="R956" s="52"/>
      <c r="S956" s="52"/>
      <c r="U956" s="202"/>
      <c r="V956" s="202"/>
      <c r="W956" s="202"/>
      <c r="X956" s="202"/>
      <c r="Y956" s="13"/>
      <c r="Z956" s="36"/>
      <c r="AA956" s="13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289"/>
      <c r="AO956" s="289"/>
      <c r="AP956" s="289"/>
      <c r="AQ956" s="36"/>
      <c r="AR956" s="283"/>
      <c r="AS956" s="13"/>
      <c r="AT956" s="13"/>
      <c r="AU956" s="32"/>
      <c r="AV956" s="277"/>
      <c r="AW956" s="277"/>
      <c r="AX956" s="277"/>
      <c r="AY956" s="280"/>
      <c r="AZ956" s="268"/>
      <c r="BA956" s="268"/>
      <c r="BB956" s="13"/>
      <c r="BC956" s="36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</row>
    <row r="957" spans="1:73">
      <c r="A957" s="13"/>
      <c r="B957" s="13"/>
      <c r="C957" s="13"/>
      <c r="D957" s="13"/>
      <c r="E957" s="13"/>
      <c r="F957" s="13"/>
      <c r="G957" s="36"/>
      <c r="H957" s="36"/>
      <c r="I957" s="36"/>
      <c r="J957" s="36"/>
      <c r="K957" s="36"/>
      <c r="L957" s="36"/>
      <c r="M957" s="36"/>
      <c r="N957" s="13"/>
      <c r="O957" s="202"/>
      <c r="P957" s="36"/>
      <c r="Q957" s="52"/>
      <c r="R957" s="52"/>
      <c r="S957" s="52"/>
      <c r="U957" s="202"/>
      <c r="V957" s="202"/>
      <c r="W957" s="202"/>
      <c r="X957" s="202"/>
      <c r="Y957" s="13"/>
      <c r="Z957" s="36"/>
      <c r="AA957" s="13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289"/>
      <c r="AO957" s="289"/>
      <c r="AP957" s="289"/>
      <c r="AQ957" s="36"/>
      <c r="AR957" s="283"/>
      <c r="AS957" s="13"/>
      <c r="AT957" s="13"/>
      <c r="AU957" s="32"/>
      <c r="AV957" s="277"/>
      <c r="AW957" s="277"/>
      <c r="AX957" s="277"/>
      <c r="AY957" s="280"/>
      <c r="AZ957" s="268"/>
      <c r="BA957" s="268"/>
      <c r="BB957" s="13"/>
      <c r="BC957" s="36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</row>
    <row r="958" spans="1:73">
      <c r="A958" s="13"/>
      <c r="B958" s="13"/>
      <c r="C958" s="13"/>
      <c r="D958" s="13"/>
      <c r="E958" s="13"/>
      <c r="F958" s="13"/>
      <c r="G958" s="36"/>
      <c r="H958" s="36"/>
      <c r="I958" s="36"/>
      <c r="J958" s="36"/>
      <c r="K958" s="36"/>
      <c r="L958" s="36"/>
      <c r="M958" s="36"/>
      <c r="N958" s="13"/>
      <c r="O958" s="202"/>
      <c r="P958" s="36"/>
      <c r="Q958" s="52"/>
      <c r="R958" s="52"/>
      <c r="S958" s="52"/>
      <c r="U958" s="202"/>
      <c r="V958" s="202"/>
      <c r="W958" s="202"/>
      <c r="X958" s="202"/>
      <c r="Y958" s="13"/>
      <c r="Z958" s="36"/>
      <c r="AA958" s="13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289"/>
      <c r="AO958" s="289"/>
      <c r="AP958" s="289"/>
      <c r="AQ958" s="36"/>
      <c r="AR958" s="283"/>
      <c r="AS958" s="13"/>
      <c r="AT958" s="13"/>
      <c r="AU958" s="32"/>
      <c r="AV958" s="277"/>
      <c r="AW958" s="277"/>
      <c r="AX958" s="277"/>
      <c r="AY958" s="280"/>
      <c r="AZ958" s="268"/>
      <c r="BA958" s="268"/>
      <c r="BB958" s="13"/>
      <c r="BC958" s="36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</row>
    <row r="959" spans="1:73">
      <c r="A959" s="13"/>
      <c r="B959" s="13"/>
      <c r="C959" s="13"/>
      <c r="D959" s="13"/>
      <c r="E959" s="13"/>
      <c r="F959" s="13"/>
      <c r="G959" s="36"/>
      <c r="H959" s="36"/>
      <c r="I959" s="36"/>
      <c r="J959" s="36"/>
      <c r="K959" s="36"/>
      <c r="L959" s="36"/>
      <c r="M959" s="36"/>
      <c r="N959" s="13"/>
      <c r="O959" s="202"/>
      <c r="P959" s="36"/>
      <c r="Q959" s="52"/>
      <c r="R959" s="52"/>
      <c r="S959" s="52"/>
      <c r="U959" s="202"/>
      <c r="V959" s="202"/>
      <c r="W959" s="202"/>
      <c r="X959" s="202"/>
      <c r="Y959" s="13"/>
      <c r="Z959" s="36"/>
      <c r="AA959" s="13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289"/>
      <c r="AO959" s="289"/>
      <c r="AP959" s="289"/>
      <c r="AQ959" s="36"/>
      <c r="AR959" s="283"/>
      <c r="AS959" s="13"/>
      <c r="AT959" s="13"/>
      <c r="AU959" s="32"/>
      <c r="AV959" s="277"/>
      <c r="AW959" s="277"/>
      <c r="AX959" s="277"/>
      <c r="AY959" s="280"/>
      <c r="AZ959" s="268"/>
      <c r="BA959" s="268"/>
      <c r="BB959" s="13"/>
      <c r="BC959" s="36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</row>
    <row r="960" spans="1:73">
      <c r="A960" s="13"/>
      <c r="B960" s="13"/>
      <c r="C960" s="13"/>
      <c r="D960" s="13"/>
      <c r="E960" s="13"/>
      <c r="F960" s="13"/>
      <c r="G960" s="36"/>
      <c r="H960" s="36"/>
      <c r="I960" s="36"/>
      <c r="J960" s="36"/>
      <c r="K960" s="36"/>
      <c r="L960" s="36"/>
      <c r="M960" s="36"/>
      <c r="N960" s="13"/>
      <c r="O960" s="202"/>
      <c r="P960" s="36"/>
      <c r="Q960" s="52"/>
      <c r="R960" s="52"/>
      <c r="S960" s="52"/>
      <c r="U960" s="202"/>
      <c r="V960" s="202"/>
      <c r="W960" s="202"/>
      <c r="X960" s="202"/>
      <c r="Y960" s="13"/>
      <c r="Z960" s="36"/>
      <c r="AA960" s="13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289"/>
      <c r="AO960" s="289"/>
      <c r="AP960" s="289"/>
      <c r="AQ960" s="36"/>
      <c r="AR960" s="283"/>
      <c r="AS960" s="13"/>
      <c r="AT960" s="13"/>
      <c r="AU960" s="32"/>
      <c r="AV960" s="277"/>
      <c r="AW960" s="277"/>
      <c r="AX960" s="277"/>
      <c r="AY960" s="280"/>
      <c r="AZ960" s="268"/>
      <c r="BA960" s="268"/>
      <c r="BB960" s="13"/>
      <c r="BC960" s="36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</row>
    <row r="961" spans="1:73">
      <c r="A961" s="13"/>
      <c r="B961" s="13"/>
      <c r="C961" s="13"/>
      <c r="D961" s="13"/>
      <c r="E961" s="13"/>
      <c r="F961" s="13"/>
      <c r="G961" s="36"/>
      <c r="H961" s="36"/>
      <c r="I961" s="36"/>
      <c r="J961" s="36"/>
      <c r="K961" s="36"/>
      <c r="L961" s="36"/>
      <c r="M961" s="36"/>
      <c r="N961" s="13"/>
      <c r="O961" s="202"/>
      <c r="P961" s="36"/>
      <c r="Q961" s="52"/>
      <c r="R961" s="52"/>
      <c r="S961" s="52"/>
      <c r="U961" s="202"/>
      <c r="V961" s="202"/>
      <c r="W961" s="202"/>
      <c r="X961" s="202"/>
      <c r="Y961" s="13"/>
      <c r="Z961" s="36"/>
      <c r="AA961" s="13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289"/>
      <c r="AO961" s="289"/>
      <c r="AP961" s="289"/>
      <c r="AQ961" s="36"/>
      <c r="AR961" s="283"/>
      <c r="AS961" s="13"/>
      <c r="AT961" s="13"/>
      <c r="AU961" s="32"/>
      <c r="AV961" s="277"/>
      <c r="AW961" s="277"/>
      <c r="AX961" s="277"/>
      <c r="AY961" s="280"/>
      <c r="AZ961" s="268"/>
      <c r="BA961" s="268"/>
      <c r="BB961" s="13"/>
      <c r="BC961" s="36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</row>
    <row r="962" spans="1:73">
      <c r="A962" s="13"/>
      <c r="B962" s="13"/>
      <c r="C962" s="13"/>
      <c r="D962" s="13"/>
      <c r="E962" s="13"/>
      <c r="F962" s="13"/>
      <c r="G962" s="36"/>
      <c r="H962" s="36"/>
      <c r="I962" s="36"/>
      <c r="J962" s="36"/>
      <c r="K962" s="36"/>
      <c r="L962" s="36"/>
      <c r="M962" s="36"/>
      <c r="N962" s="13"/>
      <c r="O962" s="202"/>
      <c r="P962" s="36"/>
      <c r="Q962" s="52"/>
      <c r="R962" s="52"/>
      <c r="S962" s="52"/>
      <c r="U962" s="202"/>
      <c r="V962" s="202"/>
      <c r="W962" s="202"/>
      <c r="X962" s="202"/>
      <c r="Y962" s="13"/>
      <c r="Z962" s="36"/>
      <c r="AA962" s="13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289"/>
      <c r="AO962" s="289"/>
      <c r="AP962" s="289"/>
      <c r="AQ962" s="36"/>
      <c r="AR962" s="283"/>
      <c r="AS962" s="13"/>
      <c r="AT962" s="13"/>
      <c r="AU962" s="32"/>
      <c r="AV962" s="277"/>
      <c r="AW962" s="277"/>
      <c r="AX962" s="277"/>
      <c r="AY962" s="280"/>
      <c r="AZ962" s="268"/>
      <c r="BA962" s="268"/>
      <c r="BB962" s="13"/>
      <c r="BC962" s="36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</row>
    <row r="963" spans="1:73">
      <c r="A963" s="13"/>
      <c r="B963" s="13"/>
      <c r="C963" s="13"/>
      <c r="D963" s="13"/>
      <c r="E963" s="13"/>
      <c r="F963" s="13"/>
      <c r="G963" s="36"/>
      <c r="H963" s="36"/>
      <c r="I963" s="36"/>
      <c r="J963" s="36"/>
      <c r="K963" s="36"/>
      <c r="L963" s="36"/>
      <c r="M963" s="36"/>
      <c r="N963" s="13"/>
      <c r="O963" s="202"/>
      <c r="P963" s="36"/>
      <c r="Q963" s="52"/>
      <c r="R963" s="52"/>
      <c r="S963" s="52"/>
      <c r="U963" s="202"/>
      <c r="V963" s="202"/>
      <c r="W963" s="202"/>
      <c r="X963" s="202"/>
      <c r="Y963" s="13"/>
      <c r="Z963" s="36"/>
      <c r="AA963" s="13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289"/>
      <c r="AO963" s="289"/>
      <c r="AP963" s="289"/>
      <c r="AQ963" s="36"/>
      <c r="AR963" s="283"/>
      <c r="AS963" s="13"/>
      <c r="AT963" s="13"/>
      <c r="AU963" s="32"/>
      <c r="AV963" s="277"/>
      <c r="AW963" s="277"/>
      <c r="AX963" s="277"/>
      <c r="AY963" s="280"/>
      <c r="AZ963" s="268"/>
      <c r="BA963" s="268"/>
      <c r="BB963" s="13"/>
      <c r="BC963" s="36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</row>
    <row r="964" spans="1:73">
      <c r="A964" s="13"/>
      <c r="B964" s="13"/>
      <c r="C964" s="13"/>
      <c r="D964" s="13"/>
      <c r="E964" s="13"/>
      <c r="F964" s="13"/>
      <c r="G964" s="36"/>
      <c r="H964" s="36"/>
      <c r="I964" s="36"/>
      <c r="J964" s="36"/>
      <c r="K964" s="36"/>
      <c r="L964" s="36"/>
      <c r="M964" s="36"/>
      <c r="N964" s="13"/>
      <c r="O964" s="202"/>
      <c r="P964" s="36"/>
      <c r="Q964" s="52"/>
      <c r="R964" s="52"/>
      <c r="S964" s="52"/>
      <c r="U964" s="202"/>
      <c r="V964" s="202"/>
      <c r="W964" s="202"/>
      <c r="X964" s="202"/>
      <c r="Y964" s="13"/>
      <c r="Z964" s="36"/>
      <c r="AA964" s="13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289"/>
      <c r="AO964" s="289"/>
      <c r="AP964" s="289"/>
      <c r="AQ964" s="36"/>
      <c r="AR964" s="283"/>
      <c r="AS964" s="13"/>
      <c r="AT964" s="13"/>
      <c r="AU964" s="32"/>
      <c r="AV964" s="277"/>
      <c r="AW964" s="277"/>
      <c r="AX964" s="277"/>
      <c r="AY964" s="280"/>
      <c r="AZ964" s="268"/>
      <c r="BA964" s="268"/>
      <c r="BB964" s="13"/>
      <c r="BC964" s="36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</row>
    <row r="965" spans="1:73">
      <c r="A965" s="13"/>
      <c r="B965" s="13"/>
      <c r="C965" s="13"/>
      <c r="D965" s="13"/>
      <c r="E965" s="13"/>
      <c r="F965" s="13"/>
      <c r="G965" s="36"/>
      <c r="H965" s="36"/>
      <c r="I965" s="36"/>
      <c r="J965" s="36"/>
      <c r="K965" s="36"/>
      <c r="L965" s="36"/>
      <c r="M965" s="36"/>
      <c r="N965" s="13"/>
      <c r="O965" s="202"/>
      <c r="P965" s="36"/>
      <c r="Q965" s="52"/>
      <c r="R965" s="52"/>
      <c r="S965" s="52"/>
      <c r="U965" s="202"/>
      <c r="V965" s="202"/>
      <c r="W965" s="202"/>
      <c r="X965" s="202"/>
      <c r="Y965" s="13"/>
      <c r="Z965" s="36"/>
      <c r="AA965" s="13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289"/>
      <c r="AO965" s="289"/>
      <c r="AP965" s="289"/>
      <c r="AQ965" s="36"/>
      <c r="AR965" s="283"/>
      <c r="AS965" s="13"/>
      <c r="AT965" s="13"/>
      <c r="AU965" s="32"/>
      <c r="AV965" s="277"/>
      <c r="AW965" s="277"/>
      <c r="AX965" s="277"/>
      <c r="AY965" s="280"/>
      <c r="AZ965" s="268"/>
      <c r="BA965" s="268"/>
      <c r="BB965" s="13"/>
      <c r="BC965" s="36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</row>
    <row r="966" spans="1:73">
      <c r="A966" s="13"/>
      <c r="B966" s="13"/>
      <c r="C966" s="13"/>
      <c r="D966" s="13"/>
      <c r="E966" s="13"/>
      <c r="F966" s="13"/>
      <c r="G966" s="36"/>
      <c r="H966" s="36"/>
      <c r="I966" s="36"/>
      <c r="J966" s="36"/>
      <c r="K966" s="36"/>
      <c r="L966" s="36"/>
      <c r="M966" s="36"/>
      <c r="N966" s="13"/>
      <c r="O966" s="202"/>
      <c r="P966" s="36"/>
      <c r="Q966" s="52"/>
      <c r="R966" s="52"/>
      <c r="S966" s="52"/>
      <c r="U966" s="202"/>
      <c r="V966" s="202"/>
      <c r="W966" s="202"/>
      <c r="X966" s="202"/>
      <c r="Y966" s="13"/>
      <c r="Z966" s="36"/>
      <c r="AA966" s="13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289"/>
      <c r="AO966" s="289"/>
      <c r="AP966" s="289"/>
      <c r="AQ966" s="36"/>
      <c r="AR966" s="283"/>
      <c r="AS966" s="13"/>
      <c r="AT966" s="13"/>
      <c r="AU966" s="32"/>
      <c r="AV966" s="277"/>
      <c r="AW966" s="277"/>
      <c r="AX966" s="277"/>
      <c r="AY966" s="280"/>
      <c r="AZ966" s="268"/>
      <c r="BA966" s="268"/>
      <c r="BB966" s="13"/>
      <c r="BC966" s="36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</row>
    <row r="967" spans="1:73">
      <c r="A967" s="13"/>
      <c r="B967" s="13"/>
      <c r="C967" s="13"/>
      <c r="D967" s="13"/>
      <c r="E967" s="13"/>
      <c r="F967" s="13"/>
      <c r="G967" s="36"/>
      <c r="H967" s="36"/>
      <c r="I967" s="36"/>
      <c r="J967" s="36"/>
      <c r="K967" s="36"/>
      <c r="L967" s="36"/>
      <c r="M967" s="36"/>
      <c r="N967" s="13"/>
      <c r="O967" s="202"/>
      <c r="P967" s="36"/>
      <c r="Q967" s="52"/>
      <c r="R967" s="52"/>
      <c r="S967" s="52"/>
      <c r="U967" s="202"/>
      <c r="V967" s="202"/>
      <c r="W967" s="202"/>
      <c r="X967" s="202"/>
      <c r="Y967" s="13"/>
      <c r="Z967" s="36"/>
      <c r="AA967" s="13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289"/>
      <c r="AO967" s="289"/>
      <c r="AP967" s="289"/>
      <c r="AQ967" s="36"/>
      <c r="AR967" s="283"/>
      <c r="AS967" s="13"/>
      <c r="AT967" s="13"/>
      <c r="AU967" s="32"/>
      <c r="AV967" s="277"/>
      <c r="AW967" s="277"/>
      <c r="AX967" s="277"/>
      <c r="AY967" s="280"/>
      <c r="AZ967" s="268"/>
      <c r="BA967" s="268"/>
      <c r="BB967" s="13"/>
      <c r="BC967" s="36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</row>
    <row r="968" spans="1:73">
      <c r="A968" s="13"/>
      <c r="B968" s="13"/>
      <c r="C968" s="13"/>
      <c r="D968" s="13"/>
      <c r="E968" s="13"/>
      <c r="F968" s="13"/>
      <c r="G968" s="36"/>
      <c r="H968" s="36"/>
      <c r="I968" s="36"/>
      <c r="J968" s="36"/>
      <c r="K968" s="36"/>
      <c r="L968" s="36"/>
      <c r="M968" s="36"/>
      <c r="N968" s="13"/>
      <c r="O968" s="202"/>
      <c r="P968" s="36"/>
      <c r="Q968" s="52"/>
      <c r="R968" s="52"/>
      <c r="S968" s="52"/>
      <c r="U968" s="202"/>
      <c r="V968" s="202"/>
      <c r="W968" s="202"/>
      <c r="X968" s="202"/>
      <c r="Y968" s="13"/>
      <c r="Z968" s="36"/>
      <c r="AA968" s="13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289"/>
      <c r="AO968" s="289"/>
      <c r="AP968" s="289"/>
      <c r="AQ968" s="36"/>
      <c r="AR968" s="283"/>
      <c r="AS968" s="13"/>
      <c r="AT968" s="13"/>
      <c r="AU968" s="32"/>
      <c r="AV968" s="277"/>
      <c r="AW968" s="277"/>
      <c r="AX968" s="277"/>
      <c r="AY968" s="280"/>
      <c r="AZ968" s="268"/>
      <c r="BA968" s="268"/>
      <c r="BB968" s="13"/>
      <c r="BC968" s="36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</row>
    <row r="969" spans="1:73">
      <c r="A969" s="13"/>
      <c r="B969" s="13"/>
      <c r="C969" s="13"/>
      <c r="D969" s="13"/>
      <c r="E969" s="13"/>
      <c r="F969" s="13"/>
      <c r="G969" s="36"/>
      <c r="H969" s="36"/>
      <c r="I969" s="36"/>
      <c r="J969" s="36"/>
      <c r="K969" s="36"/>
      <c r="L969" s="36"/>
      <c r="M969" s="36"/>
      <c r="N969" s="13"/>
      <c r="O969" s="202"/>
      <c r="P969" s="36"/>
      <c r="Q969" s="52"/>
      <c r="R969" s="52"/>
      <c r="S969" s="52"/>
      <c r="U969" s="202"/>
      <c r="V969" s="202"/>
      <c r="W969" s="202"/>
      <c r="X969" s="202"/>
      <c r="Y969" s="13"/>
      <c r="Z969" s="36"/>
      <c r="AA969" s="13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289"/>
      <c r="AO969" s="289"/>
      <c r="AP969" s="289"/>
      <c r="AQ969" s="36"/>
      <c r="AR969" s="283"/>
      <c r="AS969" s="13"/>
      <c r="AT969" s="13"/>
      <c r="AU969" s="32"/>
      <c r="AV969" s="277"/>
      <c r="AW969" s="277"/>
      <c r="AX969" s="277"/>
      <c r="AY969" s="280"/>
      <c r="AZ969" s="268"/>
      <c r="BA969" s="268"/>
      <c r="BB969" s="13"/>
      <c r="BC969" s="36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</row>
    <row r="970" spans="1:73">
      <c r="A970" s="13"/>
      <c r="B970" s="13"/>
      <c r="C970" s="13"/>
      <c r="D970" s="13"/>
      <c r="E970" s="13"/>
      <c r="F970" s="13"/>
      <c r="G970" s="36"/>
      <c r="H970" s="36"/>
      <c r="I970" s="36"/>
      <c r="J970" s="36"/>
      <c r="K970" s="36"/>
      <c r="L970" s="36"/>
      <c r="M970" s="36"/>
      <c r="N970" s="13"/>
      <c r="O970" s="202"/>
      <c r="P970" s="36"/>
      <c r="Q970" s="52"/>
      <c r="R970" s="52"/>
      <c r="S970" s="52"/>
      <c r="U970" s="202"/>
      <c r="V970" s="202"/>
      <c r="W970" s="202"/>
      <c r="X970" s="202"/>
      <c r="Y970" s="13"/>
      <c r="Z970" s="36"/>
      <c r="AA970" s="13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289"/>
      <c r="AO970" s="289"/>
      <c r="AP970" s="289"/>
      <c r="AQ970" s="36"/>
      <c r="AR970" s="283"/>
      <c r="AS970" s="13"/>
      <c r="AT970" s="13"/>
      <c r="AU970" s="32"/>
      <c r="AV970" s="277"/>
      <c r="AW970" s="277"/>
      <c r="AX970" s="277"/>
      <c r="AY970" s="280"/>
      <c r="AZ970" s="268"/>
      <c r="BA970" s="268"/>
      <c r="BB970" s="13"/>
      <c r="BC970" s="36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</row>
    <row r="971" spans="1:73">
      <c r="A971" s="13"/>
      <c r="B971" s="13"/>
      <c r="C971" s="13"/>
      <c r="D971" s="13"/>
      <c r="E971" s="13"/>
      <c r="F971" s="13"/>
      <c r="G971" s="36"/>
      <c r="H971" s="36"/>
      <c r="I971" s="36"/>
      <c r="J971" s="36"/>
      <c r="K971" s="36"/>
      <c r="L971" s="36"/>
      <c r="M971" s="36"/>
      <c r="N971" s="13"/>
      <c r="O971" s="202"/>
      <c r="P971" s="36"/>
      <c r="Q971" s="52"/>
      <c r="R971" s="52"/>
      <c r="S971" s="52"/>
      <c r="U971" s="202"/>
      <c r="V971" s="202"/>
      <c r="W971" s="202"/>
      <c r="X971" s="202"/>
      <c r="Y971" s="13"/>
      <c r="Z971" s="36"/>
      <c r="AA971" s="13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289"/>
      <c r="AO971" s="289"/>
      <c r="AP971" s="289"/>
      <c r="AQ971" s="36"/>
      <c r="AR971" s="283"/>
      <c r="AS971" s="13"/>
      <c r="AT971" s="13"/>
      <c r="AU971" s="32"/>
      <c r="AV971" s="277"/>
      <c r="AW971" s="277"/>
      <c r="AX971" s="277"/>
      <c r="AY971" s="280"/>
      <c r="AZ971" s="268"/>
      <c r="BA971" s="268"/>
      <c r="BB971" s="13"/>
      <c r="BC971" s="36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</row>
    <row r="972" spans="1:73">
      <c r="A972" s="13"/>
      <c r="B972" s="13"/>
      <c r="C972" s="13"/>
      <c r="D972" s="13"/>
      <c r="E972" s="13"/>
      <c r="F972" s="13"/>
      <c r="G972" s="36"/>
      <c r="H972" s="36"/>
      <c r="I972" s="36"/>
      <c r="J972" s="36"/>
      <c r="K972" s="36"/>
      <c r="L972" s="36"/>
      <c r="M972" s="36"/>
      <c r="N972" s="13"/>
      <c r="O972" s="202"/>
      <c r="P972" s="36"/>
      <c r="Q972" s="52"/>
      <c r="R972" s="52"/>
      <c r="S972" s="52"/>
      <c r="U972" s="202"/>
      <c r="V972" s="202"/>
      <c r="W972" s="202"/>
      <c r="X972" s="202"/>
      <c r="Y972" s="13"/>
      <c r="Z972" s="36"/>
      <c r="AA972" s="13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289"/>
      <c r="AO972" s="289"/>
      <c r="AP972" s="289"/>
      <c r="AQ972" s="36"/>
      <c r="AR972" s="283"/>
      <c r="AS972" s="13"/>
      <c r="AT972" s="13"/>
      <c r="AU972" s="32"/>
      <c r="AV972" s="277"/>
      <c r="AW972" s="277"/>
      <c r="AX972" s="277"/>
      <c r="AY972" s="280"/>
      <c r="AZ972" s="268"/>
      <c r="BA972" s="268"/>
      <c r="BB972" s="13"/>
      <c r="BC972" s="36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</row>
    <row r="973" spans="1:73">
      <c r="A973" s="13"/>
      <c r="B973" s="13"/>
      <c r="C973" s="13"/>
      <c r="D973" s="13"/>
      <c r="E973" s="13"/>
      <c r="F973" s="13"/>
      <c r="G973" s="36"/>
      <c r="H973" s="36"/>
      <c r="I973" s="36"/>
      <c r="J973" s="36"/>
      <c r="K973" s="36"/>
      <c r="L973" s="36"/>
      <c r="M973" s="36"/>
      <c r="N973" s="13"/>
      <c r="O973" s="202"/>
      <c r="P973" s="36"/>
      <c r="Q973" s="52"/>
      <c r="R973" s="52"/>
      <c r="S973" s="52"/>
      <c r="U973" s="202"/>
      <c r="V973" s="202"/>
      <c r="W973" s="202"/>
      <c r="X973" s="202"/>
      <c r="Y973" s="13"/>
      <c r="Z973" s="36"/>
      <c r="AA973" s="13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289"/>
      <c r="AO973" s="289"/>
      <c r="AP973" s="289"/>
      <c r="AQ973" s="36"/>
      <c r="AR973" s="283"/>
      <c r="AS973" s="13"/>
      <c r="AT973" s="13"/>
      <c r="AU973" s="32"/>
      <c r="AV973" s="277"/>
      <c r="AW973" s="277"/>
      <c r="AX973" s="277"/>
      <c r="AY973" s="280"/>
      <c r="AZ973" s="268"/>
      <c r="BA973" s="268"/>
      <c r="BB973" s="13"/>
      <c r="BC973" s="36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</row>
    <row r="974" spans="1:73">
      <c r="A974" s="13"/>
      <c r="B974" s="13"/>
      <c r="C974" s="13"/>
      <c r="D974" s="13"/>
      <c r="E974" s="13"/>
      <c r="F974" s="13"/>
      <c r="G974" s="36"/>
      <c r="H974" s="36"/>
      <c r="I974" s="36"/>
      <c r="J974" s="36"/>
      <c r="K974" s="36"/>
      <c r="L974" s="36"/>
      <c r="M974" s="36"/>
      <c r="N974" s="13"/>
      <c r="O974" s="202"/>
      <c r="P974" s="36"/>
      <c r="Q974" s="52"/>
      <c r="R974" s="52"/>
      <c r="S974" s="52"/>
      <c r="U974" s="202"/>
      <c r="V974" s="202"/>
      <c r="W974" s="202"/>
      <c r="X974" s="202"/>
      <c r="Y974" s="13"/>
      <c r="Z974" s="36"/>
      <c r="AA974" s="13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289"/>
      <c r="AO974" s="289"/>
      <c r="AP974" s="289"/>
      <c r="AQ974" s="36"/>
      <c r="AR974" s="283"/>
      <c r="AS974" s="13"/>
      <c r="AT974" s="13"/>
      <c r="AU974" s="32"/>
      <c r="AV974" s="277"/>
      <c r="AW974" s="277"/>
      <c r="AX974" s="277"/>
      <c r="AY974" s="280"/>
      <c r="AZ974" s="268"/>
      <c r="BA974" s="268"/>
      <c r="BB974" s="13"/>
      <c r="BC974" s="36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</row>
    <row r="975" spans="1:73">
      <c r="A975" s="13"/>
      <c r="B975" s="13"/>
      <c r="C975" s="13"/>
      <c r="D975" s="13"/>
      <c r="E975" s="13"/>
      <c r="F975" s="13"/>
      <c r="G975" s="36"/>
      <c r="H975" s="36"/>
      <c r="I975" s="36"/>
      <c r="J975" s="36"/>
      <c r="K975" s="36"/>
      <c r="L975" s="36"/>
      <c r="M975" s="36"/>
      <c r="N975" s="13"/>
      <c r="O975" s="202"/>
      <c r="P975" s="36"/>
      <c r="Q975" s="52"/>
      <c r="R975" s="52"/>
      <c r="S975" s="52"/>
      <c r="U975" s="202"/>
      <c r="V975" s="202"/>
      <c r="W975" s="202"/>
      <c r="X975" s="202"/>
      <c r="Y975" s="13"/>
      <c r="Z975" s="36"/>
      <c r="AA975" s="13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289"/>
      <c r="AO975" s="289"/>
      <c r="AP975" s="289"/>
      <c r="AQ975" s="36"/>
      <c r="AR975" s="283"/>
      <c r="AS975" s="13"/>
      <c r="AT975" s="13"/>
      <c r="AU975" s="32"/>
      <c r="AV975" s="277"/>
      <c r="AW975" s="277"/>
      <c r="AX975" s="277"/>
      <c r="AY975" s="280"/>
      <c r="AZ975" s="268"/>
      <c r="BA975" s="268"/>
      <c r="BB975" s="13"/>
      <c r="BC975" s="36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</row>
    <row r="976" spans="1:73">
      <c r="A976" s="13"/>
      <c r="B976" s="13"/>
      <c r="C976" s="13"/>
      <c r="D976" s="13"/>
      <c r="E976" s="13"/>
      <c r="F976" s="13"/>
      <c r="G976" s="36"/>
      <c r="H976" s="36"/>
      <c r="I976" s="36"/>
      <c r="J976" s="36"/>
      <c r="K976" s="36"/>
      <c r="L976" s="36"/>
      <c r="M976" s="36"/>
      <c r="N976" s="13"/>
      <c r="O976" s="202"/>
      <c r="P976" s="36"/>
      <c r="Q976" s="52"/>
      <c r="R976" s="52"/>
      <c r="S976" s="52"/>
      <c r="U976" s="202"/>
      <c r="V976" s="202"/>
      <c r="W976" s="202"/>
      <c r="X976" s="202"/>
      <c r="Y976" s="13"/>
      <c r="Z976" s="36"/>
      <c r="AA976" s="13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289"/>
      <c r="AO976" s="289"/>
      <c r="AP976" s="289"/>
      <c r="AQ976" s="36"/>
      <c r="AR976" s="283"/>
      <c r="AS976" s="13"/>
      <c r="AT976" s="13"/>
      <c r="AU976" s="32"/>
      <c r="AV976" s="277"/>
      <c r="AW976" s="277"/>
      <c r="AX976" s="277"/>
      <c r="AY976" s="280"/>
      <c r="AZ976" s="268"/>
      <c r="BA976" s="268"/>
      <c r="BB976" s="13"/>
      <c r="BC976" s="36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</row>
    <row r="977" spans="1:73">
      <c r="A977" s="13"/>
      <c r="B977" s="13"/>
      <c r="C977" s="13"/>
      <c r="D977" s="13"/>
      <c r="E977" s="13"/>
      <c r="F977" s="13"/>
      <c r="G977" s="36"/>
      <c r="H977" s="36"/>
      <c r="I977" s="36"/>
      <c r="J977" s="36"/>
      <c r="K977" s="36"/>
      <c r="L977" s="36"/>
      <c r="M977" s="36"/>
      <c r="N977" s="13"/>
      <c r="O977" s="202"/>
      <c r="P977" s="36"/>
      <c r="Q977" s="52"/>
      <c r="R977" s="52"/>
      <c r="S977" s="52"/>
      <c r="U977" s="202"/>
      <c r="V977" s="202"/>
      <c r="W977" s="202"/>
      <c r="X977" s="202"/>
      <c r="Y977" s="13"/>
      <c r="Z977" s="36"/>
      <c r="AA977" s="13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289"/>
      <c r="AO977" s="289"/>
      <c r="AP977" s="289"/>
      <c r="AQ977" s="36"/>
      <c r="AR977" s="283"/>
      <c r="AS977" s="13"/>
      <c r="AT977" s="13"/>
      <c r="AU977" s="32"/>
      <c r="AV977" s="277"/>
      <c r="AW977" s="277"/>
      <c r="AX977" s="277"/>
      <c r="AY977" s="280"/>
      <c r="AZ977" s="268"/>
      <c r="BA977" s="268"/>
      <c r="BB977" s="13"/>
      <c r="BC977" s="36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</row>
    <row r="978" spans="1:73">
      <c r="A978" s="13"/>
      <c r="B978" s="13"/>
      <c r="C978" s="13"/>
      <c r="D978" s="13"/>
      <c r="E978" s="13"/>
      <c r="F978" s="13"/>
      <c r="G978" s="36"/>
      <c r="H978" s="36"/>
      <c r="I978" s="36"/>
      <c r="J978" s="36"/>
      <c r="K978" s="36"/>
      <c r="L978" s="36"/>
      <c r="M978" s="36"/>
      <c r="N978" s="13"/>
      <c r="O978" s="202"/>
      <c r="P978" s="36"/>
      <c r="Q978" s="52"/>
      <c r="R978" s="52"/>
      <c r="S978" s="52"/>
      <c r="U978" s="202"/>
      <c r="V978" s="202"/>
      <c r="W978" s="202"/>
      <c r="X978" s="202"/>
      <c r="Y978" s="13"/>
      <c r="Z978" s="36"/>
      <c r="AA978" s="13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289"/>
      <c r="AO978" s="289"/>
      <c r="AP978" s="289"/>
      <c r="AQ978" s="36"/>
      <c r="AR978" s="283"/>
      <c r="AS978" s="13"/>
      <c r="AT978" s="13"/>
      <c r="AU978" s="32"/>
      <c r="AV978" s="277"/>
      <c r="AW978" s="277"/>
      <c r="AX978" s="277"/>
      <c r="AY978" s="280"/>
      <c r="AZ978" s="268"/>
      <c r="BA978" s="268"/>
      <c r="BB978" s="13"/>
      <c r="BC978" s="36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</row>
    <row r="979" spans="1:73">
      <c r="A979" s="13"/>
      <c r="B979" s="13"/>
      <c r="C979" s="13"/>
      <c r="D979" s="13"/>
      <c r="E979" s="13"/>
      <c r="F979" s="13"/>
      <c r="G979" s="36"/>
      <c r="H979" s="36"/>
      <c r="I979" s="36"/>
      <c r="J979" s="36"/>
      <c r="K979" s="36"/>
      <c r="L979" s="36"/>
      <c r="M979" s="36"/>
      <c r="N979" s="13"/>
      <c r="O979" s="202"/>
      <c r="P979" s="36"/>
      <c r="Q979" s="52"/>
      <c r="R979" s="52"/>
      <c r="S979" s="52"/>
      <c r="U979" s="202"/>
      <c r="V979" s="202"/>
      <c r="W979" s="202"/>
      <c r="X979" s="202"/>
      <c r="Y979" s="13"/>
      <c r="Z979" s="36"/>
      <c r="AA979" s="13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289"/>
      <c r="AO979" s="289"/>
      <c r="AP979" s="289"/>
      <c r="AQ979" s="36"/>
      <c r="AR979" s="283"/>
      <c r="AS979" s="13"/>
      <c r="AT979" s="13"/>
      <c r="AU979" s="32"/>
      <c r="AV979" s="277"/>
      <c r="AW979" s="277"/>
      <c r="AX979" s="277"/>
      <c r="AY979" s="280"/>
      <c r="AZ979" s="268"/>
      <c r="BA979" s="268"/>
      <c r="BB979" s="13"/>
      <c r="BC979" s="36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</row>
    <row r="980" spans="1:73">
      <c r="A980" s="13"/>
      <c r="B980" s="13"/>
      <c r="C980" s="13"/>
      <c r="D980" s="13"/>
      <c r="E980" s="13"/>
      <c r="F980" s="13"/>
      <c r="G980" s="36"/>
      <c r="H980" s="36"/>
      <c r="I980" s="36"/>
      <c r="J980" s="36"/>
      <c r="K980" s="36"/>
      <c r="L980" s="36"/>
      <c r="M980" s="36"/>
      <c r="N980" s="13"/>
      <c r="O980" s="202"/>
      <c r="P980" s="36"/>
      <c r="Q980" s="52"/>
      <c r="R980" s="52"/>
      <c r="S980" s="52"/>
      <c r="U980" s="202"/>
      <c r="V980" s="202"/>
      <c r="W980" s="202"/>
      <c r="X980" s="202"/>
      <c r="Y980" s="13"/>
      <c r="Z980" s="36"/>
      <c r="AA980" s="13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289"/>
      <c r="AO980" s="289"/>
      <c r="AP980" s="289"/>
      <c r="AQ980" s="36"/>
      <c r="AR980" s="283"/>
      <c r="AS980" s="13"/>
      <c r="AT980" s="13"/>
      <c r="AU980" s="32"/>
      <c r="AV980" s="277"/>
      <c r="AW980" s="277"/>
      <c r="AX980" s="277"/>
      <c r="AY980" s="280"/>
      <c r="AZ980" s="268"/>
      <c r="BA980" s="268"/>
      <c r="BB980" s="13"/>
      <c r="BC980" s="36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</row>
    <row r="981" spans="1:73">
      <c r="A981" s="13"/>
      <c r="B981" s="13"/>
      <c r="C981" s="13"/>
      <c r="D981" s="13"/>
      <c r="E981" s="13"/>
      <c r="F981" s="13"/>
      <c r="G981" s="36"/>
      <c r="H981" s="36"/>
      <c r="I981" s="36"/>
      <c r="J981" s="36"/>
      <c r="K981" s="36"/>
      <c r="L981" s="36"/>
      <c r="M981" s="36"/>
      <c r="N981" s="13"/>
      <c r="O981" s="202"/>
      <c r="P981" s="36"/>
      <c r="Q981" s="52"/>
      <c r="R981" s="52"/>
      <c r="S981" s="52"/>
      <c r="U981" s="202"/>
      <c r="V981" s="202"/>
      <c r="W981" s="202"/>
      <c r="X981" s="202"/>
      <c r="Y981" s="13"/>
      <c r="Z981" s="36"/>
      <c r="AA981" s="13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289"/>
      <c r="AO981" s="289"/>
      <c r="AP981" s="289"/>
      <c r="AQ981" s="36"/>
      <c r="AR981" s="283"/>
      <c r="AS981" s="13"/>
      <c r="AT981" s="13"/>
      <c r="AU981" s="32"/>
      <c r="AV981" s="277"/>
      <c r="AW981" s="277"/>
      <c r="AX981" s="277"/>
      <c r="AY981" s="280"/>
      <c r="AZ981" s="268"/>
      <c r="BA981" s="268"/>
      <c r="BB981" s="13"/>
      <c r="BC981" s="36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</row>
    <row r="982" spans="1:73">
      <c r="A982" s="13"/>
      <c r="B982" s="13"/>
      <c r="C982" s="13"/>
      <c r="D982" s="13"/>
      <c r="E982" s="13"/>
      <c r="F982" s="13"/>
      <c r="G982" s="36"/>
      <c r="H982" s="36"/>
      <c r="I982" s="36"/>
      <c r="J982" s="36"/>
      <c r="K982" s="36"/>
      <c r="L982" s="36"/>
      <c r="M982" s="36"/>
      <c r="N982" s="13"/>
      <c r="O982" s="202"/>
      <c r="P982" s="36"/>
      <c r="Q982" s="52"/>
      <c r="R982" s="52"/>
      <c r="S982" s="52"/>
      <c r="U982" s="202"/>
      <c r="V982" s="202"/>
      <c r="W982" s="202"/>
      <c r="X982" s="202"/>
      <c r="Y982" s="13"/>
      <c r="Z982" s="36"/>
      <c r="AA982" s="13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289"/>
      <c r="AO982" s="289"/>
      <c r="AP982" s="289"/>
      <c r="AQ982" s="36"/>
      <c r="AR982" s="283"/>
      <c r="AS982" s="13"/>
      <c r="AT982" s="13"/>
      <c r="AU982" s="32"/>
      <c r="AV982" s="277"/>
      <c r="AW982" s="277"/>
      <c r="AX982" s="277"/>
      <c r="AY982" s="280"/>
      <c r="AZ982" s="268"/>
      <c r="BA982" s="268"/>
      <c r="BB982" s="13"/>
      <c r="BC982" s="36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</row>
    <row r="983" spans="1:73">
      <c r="A983" s="13"/>
      <c r="B983" s="13"/>
      <c r="C983" s="13"/>
      <c r="D983" s="13"/>
      <c r="E983" s="13"/>
      <c r="F983" s="13"/>
      <c r="G983" s="36"/>
      <c r="H983" s="36"/>
      <c r="I983" s="36"/>
      <c r="J983" s="36"/>
      <c r="K983" s="36"/>
      <c r="L983" s="36"/>
      <c r="M983" s="36"/>
      <c r="N983" s="13"/>
      <c r="O983" s="202"/>
      <c r="P983" s="36"/>
      <c r="Q983" s="52"/>
      <c r="R983" s="52"/>
      <c r="S983" s="52"/>
      <c r="U983" s="202"/>
      <c r="V983" s="202"/>
      <c r="W983" s="202"/>
      <c r="X983" s="202"/>
      <c r="Y983" s="13"/>
      <c r="Z983" s="36"/>
      <c r="AA983" s="13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289"/>
      <c r="AO983" s="289"/>
      <c r="AP983" s="289"/>
      <c r="AQ983" s="36"/>
      <c r="AR983" s="283"/>
      <c r="AS983" s="13"/>
      <c r="AT983" s="13"/>
      <c r="AU983" s="32"/>
      <c r="AV983" s="277"/>
      <c r="AW983" s="277"/>
      <c r="AX983" s="277"/>
      <c r="AY983" s="280"/>
      <c r="AZ983" s="268"/>
      <c r="BA983" s="268"/>
      <c r="BB983" s="13"/>
      <c r="BC983" s="36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</row>
    <row r="984" spans="1:73">
      <c r="A984" s="13"/>
      <c r="B984" s="13"/>
      <c r="C984" s="13"/>
      <c r="D984" s="13"/>
      <c r="E984" s="13"/>
      <c r="F984" s="13"/>
      <c r="G984" s="36"/>
      <c r="H984" s="36"/>
      <c r="I984" s="36"/>
      <c r="J984" s="36"/>
      <c r="K984" s="36"/>
      <c r="L984" s="36"/>
      <c r="M984" s="36"/>
      <c r="N984" s="13"/>
      <c r="O984" s="202"/>
      <c r="P984" s="36"/>
      <c r="Q984" s="52"/>
      <c r="R984" s="52"/>
      <c r="S984" s="52"/>
      <c r="U984" s="202"/>
      <c r="V984" s="202"/>
      <c r="W984" s="202"/>
      <c r="X984" s="202"/>
      <c r="Y984" s="13"/>
      <c r="Z984" s="36"/>
      <c r="AA984" s="13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289"/>
      <c r="AO984" s="289"/>
      <c r="AP984" s="289"/>
      <c r="AQ984" s="36"/>
      <c r="AR984" s="283"/>
      <c r="AS984" s="13"/>
      <c r="AT984" s="13"/>
      <c r="AU984" s="32"/>
      <c r="AV984" s="277"/>
      <c r="AW984" s="277"/>
      <c r="AX984" s="277"/>
      <c r="AY984" s="280"/>
      <c r="AZ984" s="268"/>
      <c r="BA984" s="268"/>
      <c r="BB984" s="13"/>
      <c r="BC984" s="36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</row>
    <row r="985" spans="1:73">
      <c r="A985" s="13"/>
      <c r="B985" s="13"/>
      <c r="C985" s="13"/>
      <c r="D985" s="13"/>
      <c r="E985" s="13"/>
      <c r="F985" s="13"/>
      <c r="G985" s="36"/>
      <c r="H985" s="36"/>
      <c r="I985" s="36"/>
      <c r="J985" s="36"/>
      <c r="K985" s="36"/>
      <c r="L985" s="36"/>
      <c r="M985" s="36"/>
      <c r="N985" s="13"/>
      <c r="O985" s="202"/>
      <c r="P985" s="36"/>
      <c r="Q985" s="52"/>
      <c r="R985" s="52"/>
      <c r="S985" s="52"/>
      <c r="U985" s="202"/>
      <c r="V985" s="202"/>
      <c r="W985" s="202"/>
      <c r="X985" s="202"/>
      <c r="Y985" s="13"/>
      <c r="Z985" s="36"/>
      <c r="AA985" s="13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289"/>
      <c r="AO985" s="289"/>
      <c r="AP985" s="289"/>
      <c r="AQ985" s="36"/>
      <c r="AR985" s="283"/>
      <c r="AS985" s="13"/>
      <c r="AT985" s="13"/>
      <c r="AU985" s="32"/>
      <c r="AV985" s="277"/>
      <c r="AW985" s="277"/>
      <c r="AX985" s="277"/>
      <c r="AY985" s="280"/>
      <c r="AZ985" s="268"/>
      <c r="BA985" s="268"/>
      <c r="BB985" s="13"/>
      <c r="BC985" s="36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</row>
    <row r="986" spans="1:73">
      <c r="A986" s="13"/>
      <c r="B986" s="13"/>
      <c r="C986" s="13"/>
      <c r="D986" s="13"/>
      <c r="E986" s="13"/>
      <c r="F986" s="13"/>
      <c r="G986" s="36"/>
      <c r="H986" s="36"/>
      <c r="I986" s="36"/>
      <c r="J986" s="36"/>
      <c r="K986" s="36"/>
      <c r="L986" s="36"/>
      <c r="M986" s="36"/>
      <c r="N986" s="13"/>
      <c r="O986" s="202"/>
      <c r="P986" s="36"/>
      <c r="Q986" s="52"/>
      <c r="R986" s="52"/>
      <c r="S986" s="52"/>
      <c r="U986" s="202"/>
      <c r="V986" s="202"/>
      <c r="W986" s="202"/>
      <c r="X986" s="202"/>
      <c r="Y986" s="13"/>
      <c r="Z986" s="36"/>
      <c r="AA986" s="13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289"/>
      <c r="AO986" s="289"/>
      <c r="AP986" s="289"/>
      <c r="AQ986" s="36"/>
      <c r="AR986" s="283"/>
      <c r="AS986" s="13"/>
      <c r="AT986" s="13"/>
      <c r="AU986" s="32"/>
      <c r="AV986" s="277"/>
      <c r="AW986" s="277"/>
      <c r="AX986" s="277"/>
      <c r="AY986" s="280"/>
      <c r="AZ986" s="268"/>
      <c r="BA986" s="268"/>
      <c r="BB986" s="13"/>
      <c r="BC986" s="36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</row>
    <row r="987" spans="1:73">
      <c r="A987" s="13"/>
      <c r="B987" s="13"/>
      <c r="C987" s="13"/>
      <c r="D987" s="13"/>
      <c r="E987" s="13"/>
      <c r="F987" s="13"/>
      <c r="G987" s="36"/>
      <c r="H987" s="36"/>
      <c r="I987" s="36"/>
      <c r="J987" s="36"/>
      <c r="K987" s="36"/>
      <c r="L987" s="36"/>
      <c r="M987" s="36"/>
      <c r="N987" s="13"/>
      <c r="O987" s="202"/>
      <c r="P987" s="36"/>
      <c r="Q987" s="52"/>
      <c r="R987" s="52"/>
      <c r="S987" s="52"/>
      <c r="U987" s="202"/>
      <c r="V987" s="202"/>
      <c r="W987" s="202"/>
      <c r="X987" s="202"/>
      <c r="Y987" s="13"/>
      <c r="Z987" s="36"/>
      <c r="AA987" s="13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289"/>
      <c r="AO987" s="289"/>
      <c r="AP987" s="289"/>
      <c r="AQ987" s="36"/>
      <c r="AR987" s="283"/>
      <c r="AS987" s="13"/>
      <c r="AT987" s="13"/>
      <c r="AU987" s="32"/>
      <c r="AV987" s="277"/>
      <c r="AW987" s="277"/>
      <c r="AX987" s="277"/>
      <c r="AY987" s="280"/>
      <c r="AZ987" s="268"/>
      <c r="BA987" s="268"/>
      <c r="BB987" s="13"/>
      <c r="BC987" s="36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</row>
    <row r="988" spans="1:73">
      <c r="A988" s="13"/>
      <c r="B988" s="13"/>
      <c r="C988" s="13"/>
      <c r="D988" s="13"/>
      <c r="E988" s="13"/>
      <c r="F988" s="13"/>
      <c r="G988" s="36"/>
      <c r="H988" s="36"/>
      <c r="I988" s="36"/>
      <c r="J988" s="36"/>
      <c r="K988" s="36"/>
      <c r="L988" s="36"/>
      <c r="M988" s="36"/>
      <c r="N988" s="13"/>
      <c r="O988" s="202"/>
      <c r="P988" s="36"/>
      <c r="Q988" s="52"/>
      <c r="R988" s="52"/>
      <c r="S988" s="52"/>
      <c r="U988" s="202"/>
      <c r="V988" s="202"/>
      <c r="W988" s="202"/>
      <c r="X988" s="202"/>
      <c r="Y988" s="13"/>
      <c r="Z988" s="36"/>
      <c r="AA988" s="13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289"/>
      <c r="AO988" s="289"/>
      <c r="AP988" s="289"/>
      <c r="AQ988" s="36"/>
      <c r="AR988" s="283"/>
      <c r="AS988" s="13"/>
      <c r="AT988" s="13"/>
      <c r="AU988" s="32"/>
      <c r="AV988" s="277"/>
      <c r="AW988" s="277"/>
      <c r="AX988" s="277"/>
      <c r="AY988" s="280"/>
      <c r="AZ988" s="268"/>
      <c r="BA988" s="268"/>
      <c r="BB988" s="13"/>
      <c r="BC988" s="36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</row>
    <row r="989" spans="1:73">
      <c r="A989" s="13"/>
      <c r="B989" s="13"/>
      <c r="C989" s="13"/>
      <c r="D989" s="13"/>
      <c r="E989" s="13"/>
      <c r="F989" s="13"/>
      <c r="G989" s="36"/>
      <c r="H989" s="36"/>
      <c r="I989" s="36"/>
      <c r="J989" s="36"/>
      <c r="K989" s="36"/>
      <c r="L989" s="36"/>
      <c r="M989" s="36"/>
      <c r="N989" s="13"/>
      <c r="O989" s="202"/>
      <c r="P989" s="36"/>
      <c r="Q989" s="52"/>
      <c r="R989" s="52"/>
      <c r="S989" s="52"/>
      <c r="U989" s="202"/>
      <c r="V989" s="202"/>
      <c r="W989" s="202"/>
      <c r="X989" s="202"/>
      <c r="Y989" s="13"/>
      <c r="Z989" s="36"/>
      <c r="AA989" s="13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289"/>
      <c r="AO989" s="289"/>
      <c r="AP989" s="289"/>
      <c r="AQ989" s="36"/>
      <c r="AR989" s="283"/>
      <c r="AS989" s="13"/>
      <c r="AT989" s="13"/>
      <c r="AU989" s="32"/>
      <c r="AV989" s="277"/>
      <c r="AW989" s="277"/>
      <c r="AX989" s="277"/>
      <c r="AY989" s="280"/>
      <c r="AZ989" s="268"/>
      <c r="BA989" s="268"/>
      <c r="BB989" s="13"/>
      <c r="BC989" s="36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</row>
    <row r="990" spans="1:73">
      <c r="A990" s="13"/>
      <c r="B990" s="13"/>
      <c r="C990" s="13"/>
      <c r="D990" s="13"/>
      <c r="E990" s="13"/>
      <c r="F990" s="13"/>
      <c r="G990" s="36"/>
      <c r="H990" s="36"/>
      <c r="I990" s="36"/>
      <c r="J990" s="36"/>
      <c r="K990" s="36"/>
      <c r="L990" s="36"/>
      <c r="M990" s="36"/>
      <c r="N990" s="13"/>
      <c r="O990" s="202"/>
      <c r="P990" s="36"/>
      <c r="Q990" s="52"/>
      <c r="R990" s="52"/>
      <c r="S990" s="52"/>
      <c r="U990" s="202"/>
      <c r="V990" s="202"/>
      <c r="W990" s="202"/>
      <c r="X990" s="202"/>
      <c r="Y990" s="13"/>
      <c r="Z990" s="36"/>
      <c r="AA990" s="13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289"/>
      <c r="AO990" s="289"/>
      <c r="AP990" s="289"/>
      <c r="AQ990" s="36"/>
      <c r="AR990" s="283"/>
      <c r="AS990" s="13"/>
      <c r="AT990" s="13"/>
      <c r="AU990" s="32"/>
      <c r="AV990" s="277"/>
      <c r="AW990" s="277"/>
      <c r="AX990" s="277"/>
      <c r="AY990" s="280"/>
      <c r="AZ990" s="268"/>
      <c r="BA990" s="268"/>
      <c r="BB990" s="13"/>
      <c r="BC990" s="36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</row>
    <row r="991" spans="1:73">
      <c r="A991" s="13"/>
      <c r="B991" s="13"/>
      <c r="C991" s="13"/>
      <c r="D991" s="13"/>
      <c r="E991" s="13"/>
      <c r="F991" s="13"/>
      <c r="G991" s="36"/>
      <c r="H991" s="36"/>
      <c r="I991" s="36"/>
      <c r="J991" s="36"/>
      <c r="K991" s="36"/>
      <c r="L991" s="36"/>
      <c r="M991" s="36"/>
      <c r="N991" s="13"/>
      <c r="O991" s="202"/>
      <c r="P991" s="36"/>
      <c r="Q991" s="52"/>
      <c r="R991" s="52"/>
      <c r="S991" s="52"/>
      <c r="U991" s="202"/>
      <c r="V991" s="202"/>
      <c r="W991" s="202"/>
      <c r="X991" s="202"/>
      <c r="Y991" s="13"/>
      <c r="Z991" s="36"/>
      <c r="AA991" s="13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289"/>
      <c r="AO991" s="289"/>
      <c r="AP991" s="289"/>
      <c r="AQ991" s="36"/>
      <c r="AR991" s="283"/>
      <c r="AS991" s="13"/>
      <c r="AT991" s="13"/>
      <c r="AU991" s="32"/>
      <c r="AV991" s="277"/>
      <c r="AW991" s="277"/>
      <c r="AX991" s="277"/>
      <c r="AY991" s="280"/>
      <c r="AZ991" s="268"/>
      <c r="BA991" s="268"/>
      <c r="BB991" s="13"/>
      <c r="BC991" s="36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</row>
    <row r="992" spans="1:73">
      <c r="A992" s="13"/>
      <c r="B992" s="13"/>
      <c r="C992" s="13"/>
      <c r="D992" s="13"/>
      <c r="E992" s="13"/>
      <c r="F992" s="13"/>
      <c r="G992" s="36"/>
      <c r="H992" s="36"/>
      <c r="I992" s="36"/>
      <c r="J992" s="36"/>
      <c r="K992" s="36"/>
      <c r="L992" s="36"/>
      <c r="M992" s="36"/>
      <c r="N992" s="13"/>
      <c r="O992" s="202"/>
      <c r="P992" s="36"/>
      <c r="Q992" s="52"/>
      <c r="R992" s="52"/>
      <c r="S992" s="52"/>
      <c r="U992" s="202"/>
      <c r="V992" s="202"/>
      <c r="W992" s="202"/>
      <c r="X992" s="202"/>
      <c r="Y992" s="13"/>
      <c r="Z992" s="36"/>
      <c r="AA992" s="13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289"/>
      <c r="AO992" s="289"/>
      <c r="AP992" s="289"/>
      <c r="AQ992" s="36"/>
      <c r="AR992" s="283"/>
      <c r="AS992" s="13"/>
      <c r="AT992" s="13"/>
      <c r="AU992" s="32"/>
      <c r="AV992" s="277"/>
      <c r="AW992" s="277"/>
      <c r="AX992" s="277"/>
      <c r="AY992" s="280"/>
      <c r="AZ992" s="268"/>
      <c r="BA992" s="268"/>
      <c r="BB992" s="13"/>
      <c r="BC992" s="36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</row>
    <row r="993" spans="1:73">
      <c r="A993" s="13"/>
      <c r="B993" s="13"/>
      <c r="C993" s="13"/>
      <c r="D993" s="13"/>
      <c r="E993" s="13"/>
      <c r="F993" s="13"/>
      <c r="G993" s="36"/>
      <c r="H993" s="36"/>
      <c r="I993" s="36"/>
      <c r="J993" s="36"/>
      <c r="K993" s="36"/>
      <c r="L993" s="36"/>
      <c r="M993" s="36"/>
      <c r="N993" s="13"/>
      <c r="O993" s="202"/>
      <c r="P993" s="36"/>
      <c r="Q993" s="52"/>
      <c r="R993" s="52"/>
      <c r="S993" s="52"/>
      <c r="U993" s="202"/>
      <c r="V993" s="202"/>
      <c r="W993" s="202"/>
      <c r="X993" s="202"/>
      <c r="Y993" s="13"/>
      <c r="Z993" s="36"/>
      <c r="AA993" s="13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289"/>
      <c r="AO993" s="289"/>
      <c r="AP993" s="289"/>
      <c r="AQ993" s="36"/>
      <c r="AR993" s="283"/>
      <c r="AS993" s="13"/>
      <c r="AT993" s="13"/>
      <c r="AU993" s="32"/>
      <c r="AV993" s="277"/>
      <c r="AW993" s="277"/>
      <c r="AX993" s="277"/>
      <c r="AY993" s="280"/>
      <c r="AZ993" s="268"/>
      <c r="BA993" s="268"/>
      <c r="BB993" s="13"/>
      <c r="BC993" s="36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</row>
    <row r="994" spans="1:73">
      <c r="A994" s="13"/>
      <c r="B994" s="13"/>
      <c r="C994" s="13"/>
      <c r="D994" s="13"/>
      <c r="E994" s="13"/>
      <c r="F994" s="13"/>
      <c r="G994" s="36"/>
      <c r="H994" s="36"/>
      <c r="I994" s="36"/>
      <c r="J994" s="36"/>
      <c r="K994" s="36"/>
      <c r="L994" s="36"/>
      <c r="M994" s="36"/>
      <c r="N994" s="13"/>
      <c r="O994" s="202"/>
      <c r="P994" s="36"/>
      <c r="Q994" s="52"/>
      <c r="R994" s="52"/>
      <c r="S994" s="52"/>
      <c r="U994" s="202"/>
      <c r="V994" s="202"/>
      <c r="W994" s="202"/>
      <c r="X994" s="202"/>
      <c r="Y994" s="13"/>
      <c r="Z994" s="36"/>
      <c r="AA994" s="13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289"/>
      <c r="AO994" s="289"/>
      <c r="AP994" s="289"/>
      <c r="AQ994" s="36"/>
      <c r="AR994" s="283"/>
      <c r="AS994" s="13"/>
      <c r="AT994" s="13"/>
      <c r="AU994" s="32"/>
      <c r="AV994" s="277"/>
      <c r="AW994" s="277"/>
      <c r="AX994" s="277"/>
      <c r="AY994" s="280"/>
      <c r="AZ994" s="268"/>
      <c r="BA994" s="268"/>
      <c r="BB994" s="13"/>
      <c r="BC994" s="36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</row>
    <row r="995" spans="1:73">
      <c r="A995" s="13"/>
      <c r="B995" s="13"/>
      <c r="C995" s="13"/>
      <c r="D995" s="13"/>
      <c r="E995" s="13"/>
      <c r="F995" s="13"/>
      <c r="G995" s="36"/>
      <c r="H995" s="36"/>
      <c r="I995" s="36"/>
      <c r="J995" s="36"/>
      <c r="K995" s="36"/>
      <c r="L995" s="36"/>
      <c r="M995" s="36"/>
      <c r="N995" s="13"/>
      <c r="O995" s="202"/>
      <c r="P995" s="36"/>
      <c r="Q995" s="52"/>
      <c r="R995" s="52"/>
      <c r="S995" s="52"/>
      <c r="U995" s="202"/>
      <c r="V995" s="202"/>
      <c r="W995" s="202"/>
      <c r="X995" s="202"/>
      <c r="Y995" s="13"/>
      <c r="Z995" s="36"/>
      <c r="AA995" s="13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289"/>
      <c r="AO995" s="289"/>
      <c r="AP995" s="289"/>
      <c r="AQ995" s="36"/>
      <c r="AR995" s="283"/>
      <c r="AS995" s="13"/>
      <c r="AT995" s="13"/>
      <c r="AU995" s="32"/>
      <c r="AV995" s="277"/>
      <c r="AW995" s="277"/>
      <c r="AX995" s="277"/>
      <c r="AY995" s="280"/>
      <c r="AZ995" s="268"/>
      <c r="BA995" s="268"/>
      <c r="BB995" s="13"/>
      <c r="BC995" s="36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</row>
    <row r="996" spans="1:73">
      <c r="A996" s="13"/>
      <c r="B996" s="13"/>
      <c r="C996" s="13"/>
      <c r="D996" s="13"/>
      <c r="E996" s="13"/>
      <c r="F996" s="13"/>
      <c r="G996" s="36"/>
      <c r="H996" s="36"/>
      <c r="I996" s="36"/>
      <c r="J996" s="36"/>
      <c r="K996" s="36"/>
      <c r="L996" s="36"/>
      <c r="M996" s="36"/>
      <c r="N996" s="13"/>
      <c r="O996" s="202"/>
      <c r="P996" s="36"/>
      <c r="Q996" s="52"/>
      <c r="R996" s="52"/>
      <c r="S996" s="52"/>
      <c r="U996" s="202"/>
      <c r="V996" s="202"/>
      <c r="W996" s="202"/>
      <c r="X996" s="202"/>
      <c r="Y996" s="13"/>
      <c r="Z996" s="36"/>
      <c r="AA996" s="13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289"/>
      <c r="AO996" s="289"/>
      <c r="AP996" s="289"/>
      <c r="AQ996" s="36"/>
      <c r="AR996" s="283"/>
      <c r="AS996" s="13"/>
      <c r="AT996" s="13"/>
      <c r="AU996" s="32"/>
      <c r="AV996" s="277"/>
      <c r="AW996" s="277"/>
      <c r="AX996" s="277"/>
      <c r="AY996" s="280"/>
      <c r="AZ996" s="268"/>
      <c r="BA996" s="268"/>
      <c r="BB996" s="13"/>
      <c r="BC996" s="36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</row>
    <row r="997" spans="1:73">
      <c r="A997" s="13"/>
      <c r="B997" s="13"/>
      <c r="C997" s="13"/>
      <c r="D997" s="13"/>
      <c r="E997" s="13"/>
      <c r="F997" s="13"/>
      <c r="G997" s="36"/>
      <c r="H997" s="36"/>
      <c r="I997" s="36"/>
      <c r="J997" s="36"/>
      <c r="K997" s="36"/>
      <c r="L997" s="36"/>
      <c r="M997" s="36"/>
      <c r="N997" s="13"/>
      <c r="O997" s="202"/>
      <c r="P997" s="36"/>
      <c r="Q997" s="52"/>
      <c r="R997" s="52"/>
      <c r="S997" s="52"/>
      <c r="U997" s="202"/>
      <c r="V997" s="202"/>
      <c r="W997" s="202"/>
      <c r="X997" s="202"/>
      <c r="Y997" s="13"/>
      <c r="Z997" s="36"/>
      <c r="AA997" s="13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289"/>
      <c r="AO997" s="289"/>
      <c r="AP997" s="289"/>
      <c r="AQ997" s="36"/>
      <c r="AR997" s="283"/>
      <c r="AS997" s="13"/>
      <c r="AT997" s="13"/>
      <c r="AU997" s="32"/>
      <c r="AV997" s="277"/>
      <c r="AW997" s="277"/>
      <c r="AX997" s="277"/>
      <c r="AY997" s="280"/>
      <c r="AZ997" s="268"/>
      <c r="BA997" s="268"/>
      <c r="BB997" s="13"/>
      <c r="BC997" s="36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</row>
    <row r="998" spans="1:73">
      <c r="A998" s="13"/>
      <c r="B998" s="13"/>
      <c r="C998" s="13"/>
      <c r="D998" s="13"/>
      <c r="E998" s="13"/>
      <c r="F998" s="13"/>
      <c r="G998" s="36"/>
      <c r="H998" s="36"/>
      <c r="I998" s="36"/>
      <c r="J998" s="36"/>
      <c r="K998" s="36"/>
      <c r="L998" s="36"/>
      <c r="M998" s="36"/>
      <c r="N998" s="13"/>
      <c r="O998" s="202"/>
      <c r="P998" s="36"/>
      <c r="Q998" s="52"/>
      <c r="R998" s="52"/>
      <c r="S998" s="52"/>
      <c r="U998" s="202"/>
      <c r="V998" s="202"/>
      <c r="W998" s="202"/>
      <c r="X998" s="202"/>
      <c r="Y998" s="13"/>
      <c r="Z998" s="36"/>
      <c r="AA998" s="13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289"/>
      <c r="AO998" s="289"/>
      <c r="AP998" s="289"/>
      <c r="AQ998" s="36"/>
      <c r="AR998" s="283"/>
      <c r="AS998" s="13"/>
      <c r="AT998" s="13"/>
      <c r="AU998" s="32"/>
      <c r="AV998" s="277"/>
      <c r="AW998" s="277"/>
      <c r="AX998" s="277"/>
      <c r="AY998" s="280"/>
      <c r="AZ998" s="268"/>
      <c r="BA998" s="268"/>
      <c r="BB998" s="13"/>
      <c r="BC998" s="36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</row>
    <row r="999" spans="1:73">
      <c r="A999" s="13"/>
      <c r="B999" s="13"/>
      <c r="C999" s="13"/>
      <c r="D999" s="13"/>
      <c r="E999" s="13"/>
      <c r="F999" s="13"/>
      <c r="G999" s="36"/>
      <c r="H999" s="36"/>
      <c r="I999" s="36"/>
      <c r="J999" s="36"/>
      <c r="K999" s="36"/>
      <c r="L999" s="36"/>
      <c r="M999" s="36"/>
      <c r="N999" s="13"/>
      <c r="O999" s="202"/>
      <c r="P999" s="36"/>
      <c r="Q999" s="52"/>
      <c r="R999" s="52"/>
      <c r="S999" s="52"/>
      <c r="U999" s="202"/>
      <c r="V999" s="202"/>
      <c r="W999" s="202"/>
      <c r="X999" s="202"/>
      <c r="Y999" s="13"/>
      <c r="Z999" s="36"/>
      <c r="AA999" s="13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289"/>
      <c r="AO999" s="289"/>
      <c r="AP999" s="289"/>
      <c r="AQ999" s="36"/>
      <c r="AR999" s="283"/>
      <c r="AS999" s="13"/>
      <c r="AT999" s="13"/>
      <c r="AU999" s="32"/>
      <c r="AV999" s="277"/>
      <c r="AW999" s="277"/>
      <c r="AX999" s="277"/>
      <c r="AY999" s="280"/>
      <c r="AZ999" s="268"/>
      <c r="BA999" s="268"/>
      <c r="BB999" s="13"/>
      <c r="BC999" s="36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</row>
    <row r="1000" spans="1:73">
      <c r="A1000" s="13"/>
      <c r="B1000" s="13"/>
      <c r="C1000" s="13"/>
      <c r="D1000" s="13"/>
      <c r="E1000" s="13"/>
      <c r="F1000" s="13"/>
      <c r="G1000" s="36"/>
      <c r="H1000" s="36"/>
      <c r="I1000" s="36"/>
      <c r="J1000" s="36"/>
      <c r="K1000" s="36"/>
      <c r="L1000" s="36"/>
      <c r="M1000" s="36"/>
      <c r="N1000" s="13"/>
      <c r="O1000" s="202"/>
      <c r="P1000" s="36"/>
      <c r="Q1000" s="52"/>
      <c r="R1000" s="52"/>
      <c r="S1000" s="52"/>
      <c r="U1000" s="202"/>
      <c r="V1000" s="202"/>
      <c r="W1000" s="202"/>
      <c r="X1000" s="202"/>
      <c r="Y1000" s="13"/>
      <c r="Z1000" s="36"/>
      <c r="AA1000" s="13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289"/>
      <c r="AO1000" s="289"/>
      <c r="AP1000" s="289"/>
      <c r="AQ1000" s="36"/>
      <c r="AR1000" s="283"/>
      <c r="AS1000" s="13"/>
      <c r="AT1000" s="13"/>
      <c r="AU1000" s="32"/>
      <c r="AV1000" s="277"/>
      <c r="AW1000" s="277"/>
      <c r="AX1000" s="277"/>
      <c r="AY1000" s="280"/>
      <c r="AZ1000" s="268"/>
      <c r="BA1000" s="268"/>
      <c r="BB1000" s="13"/>
      <c r="BC1000" s="36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</row>
    <row r="1001" spans="1:73">
      <c r="A1001" s="13"/>
      <c r="B1001" s="13"/>
      <c r="C1001" s="13"/>
      <c r="D1001" s="13"/>
      <c r="E1001" s="13"/>
      <c r="F1001" s="13"/>
      <c r="G1001" s="36"/>
      <c r="H1001" s="36"/>
      <c r="I1001" s="36"/>
      <c r="J1001" s="36"/>
      <c r="K1001" s="36"/>
      <c r="L1001" s="36"/>
      <c r="M1001" s="36"/>
      <c r="N1001" s="13"/>
      <c r="O1001" s="202"/>
      <c r="P1001" s="36"/>
      <c r="Q1001" s="52"/>
      <c r="R1001" s="52"/>
      <c r="S1001" s="52"/>
      <c r="U1001" s="202"/>
      <c r="V1001" s="202"/>
      <c r="W1001" s="202"/>
      <c r="X1001" s="202"/>
      <c r="Y1001" s="13"/>
      <c r="Z1001" s="36"/>
      <c r="AA1001" s="13"/>
      <c r="AB1001" s="36"/>
      <c r="AC1001" s="36"/>
      <c r="AD1001" s="36"/>
      <c r="AE1001" s="36"/>
      <c r="AF1001" s="36"/>
      <c r="AG1001" s="36"/>
      <c r="AH1001" s="36"/>
      <c r="AI1001" s="36"/>
      <c r="AJ1001" s="36"/>
      <c r="AK1001" s="36"/>
      <c r="AL1001" s="36"/>
      <c r="AM1001" s="36"/>
      <c r="AN1001" s="289"/>
      <c r="AO1001" s="289"/>
      <c r="AP1001" s="289"/>
      <c r="AQ1001" s="36"/>
      <c r="AR1001" s="283"/>
      <c r="AS1001" s="13"/>
      <c r="AT1001" s="13"/>
      <c r="AU1001" s="32"/>
      <c r="AV1001" s="277"/>
      <c r="AW1001" s="277"/>
      <c r="AX1001" s="277"/>
      <c r="AY1001" s="280"/>
      <c r="AZ1001" s="268"/>
      <c r="BA1001" s="268"/>
      <c r="BB1001" s="13"/>
      <c r="BC1001" s="36"/>
      <c r="BD1001" s="13"/>
      <c r="BE1001" s="13"/>
      <c r="BF1001" s="13"/>
      <c r="BG1001" s="13"/>
      <c r="BH1001" s="13"/>
      <c r="BI1001" s="13"/>
      <c r="BJ1001" s="13"/>
      <c r="BK1001" s="13"/>
      <c r="BL1001" s="13"/>
      <c r="BM1001" s="13"/>
      <c r="BN1001" s="13"/>
      <c r="BO1001" s="13"/>
      <c r="BP1001" s="13"/>
      <c r="BQ1001" s="13"/>
      <c r="BR1001" s="13"/>
      <c r="BS1001" s="13"/>
      <c r="BT1001" s="13"/>
      <c r="BU1001" s="13"/>
    </row>
    <row r="1002" spans="1:73">
      <c r="A1002" s="13"/>
      <c r="B1002" s="13"/>
      <c r="C1002" s="13"/>
      <c r="D1002" s="13"/>
      <c r="E1002" s="13"/>
      <c r="F1002" s="13"/>
      <c r="G1002" s="36"/>
      <c r="H1002" s="36"/>
      <c r="I1002" s="36"/>
      <c r="J1002" s="36"/>
      <c r="K1002" s="36"/>
      <c r="L1002" s="36"/>
      <c r="M1002" s="36"/>
      <c r="N1002" s="13"/>
      <c r="O1002" s="202"/>
      <c r="P1002" s="36"/>
      <c r="Q1002" s="52"/>
      <c r="R1002" s="52"/>
      <c r="S1002" s="52"/>
      <c r="U1002" s="202"/>
      <c r="V1002" s="202"/>
      <c r="W1002" s="202"/>
      <c r="X1002" s="202"/>
      <c r="Y1002" s="13"/>
      <c r="Z1002" s="36"/>
      <c r="AA1002" s="13"/>
      <c r="AB1002" s="36"/>
      <c r="AC1002" s="36"/>
      <c r="AD1002" s="36"/>
      <c r="AE1002" s="36"/>
      <c r="AF1002" s="36"/>
      <c r="AG1002" s="36"/>
      <c r="AH1002" s="36"/>
      <c r="AI1002" s="36"/>
      <c r="AJ1002" s="36"/>
      <c r="AK1002" s="36"/>
      <c r="AL1002" s="36"/>
      <c r="AM1002" s="36"/>
      <c r="AN1002" s="289"/>
      <c r="AO1002" s="289"/>
      <c r="AP1002" s="289"/>
      <c r="AQ1002" s="36"/>
      <c r="AR1002" s="283"/>
      <c r="AS1002" s="13"/>
      <c r="AT1002" s="13"/>
      <c r="AU1002" s="32"/>
      <c r="AV1002" s="277"/>
      <c r="AW1002" s="277"/>
      <c r="AX1002" s="277"/>
      <c r="AY1002" s="280"/>
      <c r="AZ1002" s="268"/>
      <c r="BA1002" s="268"/>
      <c r="BB1002" s="13"/>
      <c r="BC1002" s="36"/>
      <c r="BD1002" s="13"/>
      <c r="BE1002" s="13"/>
      <c r="BF1002" s="13"/>
      <c r="BG1002" s="13"/>
      <c r="BH1002" s="13"/>
      <c r="BI1002" s="13"/>
      <c r="BJ1002" s="13"/>
      <c r="BK1002" s="13"/>
      <c r="BL1002" s="13"/>
      <c r="BM1002" s="13"/>
      <c r="BN1002" s="13"/>
      <c r="BO1002" s="13"/>
      <c r="BP1002" s="13"/>
      <c r="BQ1002" s="13"/>
      <c r="BR1002" s="13"/>
      <c r="BS1002" s="13"/>
      <c r="BT1002" s="13"/>
      <c r="BU1002" s="13"/>
    </row>
    <row r="1003" spans="1:73">
      <c r="A1003" s="13"/>
      <c r="B1003" s="13"/>
      <c r="C1003" s="13"/>
      <c r="D1003" s="13"/>
      <c r="E1003" s="13"/>
      <c r="F1003" s="13"/>
      <c r="G1003" s="36"/>
      <c r="H1003" s="36"/>
      <c r="I1003" s="36"/>
      <c r="J1003" s="36"/>
      <c r="K1003" s="36"/>
      <c r="L1003" s="36"/>
      <c r="M1003" s="36"/>
      <c r="N1003" s="13"/>
      <c r="O1003" s="202"/>
      <c r="P1003" s="36"/>
      <c r="Q1003" s="52"/>
      <c r="R1003" s="52"/>
      <c r="S1003" s="52"/>
      <c r="U1003" s="202"/>
      <c r="V1003" s="202"/>
      <c r="W1003" s="202"/>
      <c r="X1003" s="202"/>
      <c r="Y1003" s="13"/>
      <c r="Z1003" s="36"/>
      <c r="AA1003" s="13"/>
      <c r="AB1003" s="36"/>
      <c r="AC1003" s="36"/>
      <c r="AD1003" s="36"/>
      <c r="AE1003" s="36"/>
      <c r="AF1003" s="36"/>
      <c r="AG1003" s="36"/>
      <c r="AH1003" s="36"/>
      <c r="AI1003" s="36"/>
      <c r="AJ1003" s="36"/>
      <c r="AK1003" s="36"/>
      <c r="AL1003" s="36"/>
      <c r="AM1003" s="36"/>
      <c r="AN1003" s="289"/>
      <c r="AO1003" s="289"/>
      <c r="AP1003" s="289"/>
      <c r="AQ1003" s="36"/>
      <c r="AR1003" s="283"/>
      <c r="AS1003" s="13"/>
      <c r="AT1003" s="13"/>
      <c r="AU1003" s="32"/>
      <c r="AV1003" s="277"/>
      <c r="AW1003" s="277"/>
      <c r="AX1003" s="277"/>
      <c r="AY1003" s="280"/>
      <c r="AZ1003" s="268"/>
      <c r="BA1003" s="268"/>
      <c r="BB1003" s="13"/>
      <c r="BC1003" s="36"/>
      <c r="BD1003" s="13"/>
      <c r="BE1003" s="13"/>
      <c r="BF1003" s="13"/>
      <c r="BG1003" s="13"/>
      <c r="BH1003" s="13"/>
      <c r="BI1003" s="13"/>
      <c r="BJ1003" s="13"/>
      <c r="BK1003" s="13"/>
      <c r="BL1003" s="13"/>
      <c r="BM1003" s="13"/>
      <c r="BN1003" s="13"/>
      <c r="BO1003" s="13"/>
      <c r="BP1003" s="13"/>
      <c r="BQ1003" s="13"/>
      <c r="BR1003" s="13"/>
      <c r="BS1003" s="13"/>
      <c r="BT1003" s="13"/>
      <c r="BU1003" s="13"/>
    </row>
    <row r="1004" spans="1:73">
      <c r="A1004" s="13"/>
      <c r="B1004" s="13"/>
      <c r="C1004" s="13"/>
      <c r="D1004" s="13"/>
      <c r="E1004" s="13"/>
      <c r="F1004" s="13"/>
      <c r="G1004" s="36"/>
      <c r="H1004" s="36"/>
      <c r="I1004" s="36"/>
      <c r="J1004" s="36"/>
      <c r="K1004" s="36"/>
      <c r="L1004" s="36"/>
      <c r="M1004" s="36"/>
      <c r="N1004" s="13"/>
      <c r="O1004" s="202"/>
      <c r="P1004" s="36"/>
      <c r="Q1004" s="52"/>
      <c r="R1004" s="52"/>
      <c r="S1004" s="52"/>
      <c r="U1004" s="202"/>
      <c r="V1004" s="202"/>
      <c r="W1004" s="202"/>
      <c r="X1004" s="202"/>
      <c r="Y1004" s="13"/>
      <c r="Z1004" s="36"/>
      <c r="AA1004" s="13"/>
      <c r="AB1004" s="36"/>
      <c r="AC1004" s="36"/>
      <c r="AD1004" s="36"/>
      <c r="AE1004" s="36"/>
      <c r="AF1004" s="36"/>
      <c r="AG1004" s="36"/>
      <c r="AH1004" s="36"/>
      <c r="AI1004" s="36"/>
      <c r="AJ1004" s="36"/>
      <c r="AK1004" s="36"/>
      <c r="AL1004" s="36"/>
      <c r="AM1004" s="36"/>
      <c r="AN1004" s="289"/>
      <c r="AO1004" s="289"/>
      <c r="AP1004" s="289"/>
      <c r="AQ1004" s="36"/>
      <c r="AR1004" s="283"/>
      <c r="AS1004" s="13"/>
      <c r="AT1004" s="13"/>
      <c r="AU1004" s="32"/>
      <c r="AV1004" s="277"/>
      <c r="AW1004" s="277"/>
      <c r="AX1004" s="277"/>
      <c r="AY1004" s="280"/>
      <c r="AZ1004" s="268"/>
      <c r="BA1004" s="268"/>
      <c r="BB1004" s="13"/>
      <c r="BC1004" s="36"/>
      <c r="BD1004" s="13"/>
      <c r="BE1004" s="13"/>
      <c r="BF1004" s="13"/>
      <c r="BG1004" s="13"/>
      <c r="BH1004" s="13"/>
      <c r="BI1004" s="13"/>
      <c r="BJ1004" s="13"/>
      <c r="BK1004" s="13"/>
      <c r="BL1004" s="13"/>
      <c r="BM1004" s="13"/>
      <c r="BN1004" s="13"/>
      <c r="BO1004" s="13"/>
      <c r="BP1004" s="13"/>
      <c r="BQ1004" s="13"/>
      <c r="BR1004" s="13"/>
      <c r="BS1004" s="13"/>
      <c r="BT1004" s="13"/>
      <c r="BU1004" s="13"/>
    </row>
    <row r="1005" spans="1:73">
      <c r="A1005" s="13"/>
      <c r="B1005" s="13"/>
      <c r="C1005" s="13"/>
      <c r="D1005" s="13"/>
      <c r="E1005" s="13"/>
      <c r="F1005" s="13"/>
      <c r="G1005" s="36"/>
      <c r="H1005" s="36"/>
      <c r="I1005" s="36"/>
      <c r="J1005" s="36"/>
      <c r="K1005" s="36"/>
      <c r="L1005" s="36"/>
      <c r="M1005" s="36"/>
      <c r="N1005" s="13"/>
      <c r="O1005" s="202"/>
      <c r="P1005" s="36"/>
      <c r="Q1005" s="52"/>
      <c r="R1005" s="52"/>
      <c r="S1005" s="52"/>
      <c r="U1005" s="202"/>
      <c r="V1005" s="202"/>
      <c r="W1005" s="202"/>
      <c r="X1005" s="202"/>
      <c r="Y1005" s="13"/>
      <c r="Z1005" s="36"/>
      <c r="AA1005" s="13"/>
      <c r="AB1005" s="36"/>
      <c r="AC1005" s="36"/>
      <c r="AD1005" s="36"/>
      <c r="AE1005" s="36"/>
      <c r="AF1005" s="36"/>
      <c r="AG1005" s="36"/>
      <c r="AH1005" s="36"/>
      <c r="AI1005" s="36"/>
      <c r="AJ1005" s="36"/>
      <c r="AK1005" s="36"/>
      <c r="AL1005" s="36"/>
      <c r="AM1005" s="36"/>
      <c r="AN1005" s="289"/>
      <c r="AO1005" s="289"/>
      <c r="AP1005" s="289"/>
      <c r="AQ1005" s="36"/>
      <c r="AR1005" s="283"/>
      <c r="AS1005" s="13"/>
      <c r="AT1005" s="13"/>
      <c r="AU1005" s="32"/>
      <c r="AV1005" s="277"/>
      <c r="AW1005" s="277"/>
      <c r="AX1005" s="277"/>
      <c r="AY1005" s="280"/>
      <c r="AZ1005" s="268"/>
      <c r="BA1005" s="268"/>
      <c r="BB1005" s="13"/>
      <c r="BC1005" s="36"/>
      <c r="BD1005" s="13"/>
      <c r="BE1005" s="13"/>
      <c r="BF1005" s="13"/>
      <c r="BG1005" s="13"/>
      <c r="BH1005" s="13"/>
      <c r="BI1005" s="13"/>
      <c r="BJ1005" s="13"/>
      <c r="BK1005" s="13"/>
      <c r="BL1005" s="13"/>
      <c r="BM1005" s="13"/>
      <c r="BN1005" s="13"/>
      <c r="BO1005" s="13"/>
      <c r="BP1005" s="13"/>
      <c r="BQ1005" s="13"/>
      <c r="BR1005" s="13"/>
      <c r="BS1005" s="13"/>
      <c r="BT1005" s="13"/>
      <c r="BU1005" s="13"/>
    </row>
    <row r="1006" spans="1:73">
      <c r="A1006" s="13"/>
      <c r="B1006" s="13"/>
      <c r="C1006" s="13"/>
      <c r="D1006" s="13"/>
      <c r="E1006" s="13"/>
      <c r="F1006" s="13"/>
      <c r="G1006" s="36"/>
      <c r="H1006" s="36"/>
      <c r="I1006" s="36"/>
      <c r="J1006" s="36"/>
      <c r="K1006" s="36"/>
      <c r="L1006" s="36"/>
      <c r="M1006" s="36"/>
      <c r="N1006" s="13"/>
      <c r="O1006" s="202"/>
      <c r="P1006" s="36"/>
      <c r="Q1006" s="52"/>
      <c r="R1006" s="52"/>
      <c r="S1006" s="52"/>
      <c r="U1006" s="202"/>
      <c r="V1006" s="202"/>
      <c r="W1006" s="202"/>
      <c r="X1006" s="202"/>
      <c r="Y1006" s="13"/>
      <c r="Z1006" s="36"/>
      <c r="AA1006" s="13"/>
      <c r="AB1006" s="36"/>
      <c r="AC1006" s="36"/>
      <c r="AD1006" s="36"/>
      <c r="AE1006" s="36"/>
      <c r="AF1006" s="36"/>
      <c r="AG1006" s="36"/>
      <c r="AH1006" s="36"/>
      <c r="AI1006" s="36"/>
      <c r="AJ1006" s="36"/>
      <c r="AK1006" s="36"/>
      <c r="AL1006" s="36"/>
      <c r="AM1006" s="36"/>
      <c r="AN1006" s="289"/>
      <c r="AO1006" s="289"/>
      <c r="AP1006" s="289"/>
      <c r="AQ1006" s="36"/>
      <c r="AR1006" s="283"/>
      <c r="AS1006" s="13"/>
      <c r="AT1006" s="13"/>
      <c r="AU1006" s="32"/>
      <c r="AV1006" s="277"/>
      <c r="AW1006" s="277"/>
      <c r="AX1006" s="277"/>
      <c r="AY1006" s="280"/>
      <c r="AZ1006" s="268"/>
      <c r="BA1006" s="268"/>
      <c r="BB1006" s="13"/>
      <c r="BC1006" s="36"/>
      <c r="BD1006" s="13"/>
      <c r="BE1006" s="13"/>
      <c r="BF1006" s="13"/>
      <c r="BG1006" s="13"/>
      <c r="BH1006" s="13"/>
      <c r="BI1006" s="13"/>
      <c r="BJ1006" s="13"/>
      <c r="BK1006" s="13"/>
      <c r="BL1006" s="13"/>
    </row>
  </sheetData>
  <autoFilter ref="CD32:CF51" xr:uid="{4355414A-6B80-4914-85D2-0800A3B994DA}">
    <sortState xmlns:xlrd2="http://schemas.microsoft.com/office/spreadsheetml/2017/richdata2" ref="CD33:CF54">
      <sortCondition ref="CD32:CD51"/>
    </sortState>
  </autoFilter>
  <mergeCells count="2">
    <mergeCell ref="BE4:BI4"/>
    <mergeCell ref="V2:W2"/>
  </mergeCells>
  <phoneticPr fontId="28" type="noConversion"/>
  <conditionalFormatting sqref="BC6">
    <cfRule type="containsText" dxfId="22" priority="7" operator="containsText" text="N">
      <formula>NOT(ISERROR(SEARCH("N",BC6)))</formula>
    </cfRule>
    <cfRule type="containsText" dxfId="21" priority="8" operator="containsText" text="Y">
      <formula>NOT(ISERROR(SEARCH("Y",BC6)))</formula>
    </cfRule>
  </conditionalFormatting>
  <conditionalFormatting sqref="BC6:BC81 BC83:BC84 BC87:BC91 BC96:BC107">
    <cfRule type="containsText" dxfId="20" priority="5" operator="containsText" text="N">
      <formula>NOT(ISERROR(SEARCH("N",BC6)))</formula>
    </cfRule>
    <cfRule type="containsText" dxfId="19" priority="6" operator="containsText" text="Y">
      <formula>NOT(ISERROR(SEARCH("Y",BC6)))</formula>
    </cfRule>
  </conditionalFormatting>
  <conditionalFormatting sqref="BC82">
    <cfRule type="containsText" dxfId="18" priority="3" operator="containsText" text="N">
      <formula>NOT(ISERROR(SEARCH("N",BC82)))</formula>
    </cfRule>
    <cfRule type="containsText" dxfId="17" priority="4" operator="containsText" text="Y">
      <formula>NOT(ISERROR(SEARCH("Y",BC82)))</formula>
    </cfRule>
  </conditionalFormatting>
  <conditionalFormatting sqref="BC85:BC86">
    <cfRule type="containsText" dxfId="16" priority="1" operator="containsText" text="N">
      <formula>NOT(ISERROR(SEARCH("N",BC85)))</formula>
    </cfRule>
    <cfRule type="containsText" dxfId="15" priority="2" operator="containsText" text="Y">
      <formula>NOT(ISERROR(SEARCH("Y",BC85)))</formula>
    </cfRule>
  </conditionalFormatting>
  <dataValidations count="6">
    <dataValidation type="list" allowBlank="1" showInputMessage="1" showErrorMessage="1" sqref="AK6:AK9 AE6:AE9" xr:uid="{1A10E6DE-A258-C647-954B-C5CC518A357D}">
      <formula1>Polymer</formula1>
    </dataValidation>
    <dataValidation type="list" allowBlank="1" sqref="BC96:BC107 BD6:BD107 BC6:BC91 AD6:AD91 AD96:AD107" xr:uid="{00000000-0002-0000-0000-000000000000}">
      <formula1>"Y,N"</formula1>
    </dataValidation>
    <dataValidation type="list" allowBlank="1" sqref="AB6:AB91 AB96:AB107" xr:uid="{00000000-0002-0000-0000-000001000000}">
      <formula1>Metal</formula1>
    </dataValidation>
    <dataValidation type="list" allowBlank="1" showInputMessage="1" showErrorMessage="1" sqref="H6:H9" xr:uid="{2B3286AC-FB45-A042-8A82-4142B112B81F}">
      <formula1>Ceramic</formula1>
    </dataValidation>
    <dataValidation type="list" allowBlank="1" showInputMessage="1" showErrorMessage="1" sqref="I6:I9" xr:uid="{08A32A9E-96EE-BD43-947A-3180F6C3D293}">
      <formula1>Composite</formula1>
    </dataValidation>
    <dataValidation type="list" allowBlank="1" showInputMessage="1" showErrorMessage="1" sqref="AQ6:AQ91 AQ96:AQ107" xr:uid="{64BA83D1-B8BF-2448-910B-6AED7DD14D0F}">
      <formula1>"LT,RT,HT"</formula1>
    </dataValidation>
  </dataValidation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5231C478-76D0-5F4D-B06A-902518E4E7ED}">
          <x14:formula1>
            <xm:f>Options!$D$2:$D$50</xm:f>
          </x14:formula1>
          <xm:sqref>G6:G84 G86:G91 G96:G107</xm:sqref>
        </x14:dataValidation>
        <x14:dataValidation type="list" allowBlank="1" showInputMessage="1" showErrorMessage="1" xr:uid="{49D263EC-7B80-064E-8496-443003EA57CE}">
          <x14:formula1>
            <xm:f>Options!$E$2:$E$50</xm:f>
          </x14:formula1>
          <xm:sqref>Z6:Z84 Z86:Z91 Z96:Z107</xm:sqref>
        </x14:dataValidation>
        <x14:dataValidation type="list" allowBlank="1" showInputMessage="1" showErrorMessage="1" xr:uid="{51E5E611-936F-5444-9989-D2B600CBB34E}">
          <x14:formula1>
            <xm:f>Options!$F$2:$F$50</xm:f>
          </x14:formula1>
          <xm:sqref>P6:P84 P86:P91 P96:P107</xm:sqref>
        </x14:dataValidation>
        <x14:dataValidation type="list" allowBlank="1" showInputMessage="1" showErrorMessage="1" xr:uid="{80BBD3C3-F5DC-436F-8A2C-9FB9821722FC}">
          <x14:formula1>
            <xm:f>Options!$H$2:$H$3</xm:f>
          </x14:formula1>
          <xm:sqref>AJ6:AJ84 AJ86:AJ91 AJ96:AJ107</xm:sqref>
        </x14:dataValidation>
        <x14:dataValidation type="list" allowBlank="1" showInputMessage="1" showErrorMessage="1" xr:uid="{78BE8B7C-480B-4474-BD3B-2AE82DD9696B}">
          <x14:formula1>
            <xm:f>Options!$G$2:$G$3</xm:f>
          </x14:formula1>
          <xm:sqref>W6:W84 W86:W91 W96:W107</xm:sqref>
        </x14:dataValidation>
        <x14:dataValidation type="list" allowBlank="1" showInputMessage="1" showErrorMessage="1" xr:uid="{FBDB906B-1227-49AC-93AA-C0179707EA34}">
          <x14:formula1>
            <xm:f>Targets!$B$12:$B$65</xm:f>
          </x14:formula1>
          <xm:sqref>AH6:AI84 AL10:AL84 AL96:AL107 AL87:AL91 AH86:AI91 AH96:AI107</xm:sqref>
        </x14:dataValidation>
        <x14:dataValidation type="list" allowBlank="1" showInputMessage="1" showErrorMessage="1" xr:uid="{9FDCBBD0-38FD-437F-A2BA-3E62EB0332AC}">
          <x14:formula1>
            <xm:f>Projectiles!$B$12:$B$62</xm:f>
          </x14:formula1>
          <xm:sqref>J6:J84 J86:J91 J96:J107</xm:sqref>
        </x14:dataValidation>
        <x14:dataValidation type="list" allowBlank="1" showInputMessage="1" showErrorMessage="1" xr:uid="{2E58FCB6-14AB-42A7-895E-086D0A19D51F}">
          <x14:formula1>
            <xm:f>Options!$I$2:$I$50</xm:f>
          </x14:formula1>
          <xm:sqref>K6:K84 K86:K91 K96:K107</xm:sqref>
        </x14:dataValidation>
        <x14:dataValidation type="list" allowBlank="1" showInputMessage="1" showErrorMessage="1" xr:uid="{1C7FE376-F074-4CE1-850C-7F4DB6F4AF85}">
          <x14:formula1>
            <xm:f>Options!$L$2:$L$50</xm:f>
          </x14:formula1>
          <xm:sqref>L6:L84 L86:L91 L96:L107</xm:sqref>
        </x14:dataValidation>
        <x14:dataValidation type="list" allowBlank="1" showInputMessage="1" showErrorMessage="1" xr:uid="{0A6B6FC7-B29B-4B52-8F20-586FDAA398CE}">
          <x14:formula1>
            <xm:f>Options!$M$2:$M$50</xm:f>
          </x14:formula1>
          <xm:sqref>M10:M84 M86:M91 M96:M107</xm:sqref>
        </x14:dataValidation>
        <x14:dataValidation type="list" allowBlank="1" showInputMessage="1" showErrorMessage="1" xr:uid="{2DEF9639-697B-49F2-B89B-177A6EAF1363}">
          <x14:formula1>
            <xm:f>Options!$C$2:$C$50</xm:f>
          </x14:formula1>
          <xm:sqref>I10:I84 AE10:AE84 AF6:AG84 AK10:AK84 AE96:AG107 AK96:AK107 AK86:AK91 AE86:AG91 I86:I91 I96:I107</xm:sqref>
        </x14:dataValidation>
        <x14:dataValidation type="list" allowBlank="1" showInputMessage="1" showErrorMessage="1" xr:uid="{19AB5F89-C900-4B1A-9F91-4C034E87A787}">
          <x14:formula1>
            <xm:f>Options!$A$2:$A$50</xm:f>
          </x14:formula1>
          <xm:sqref>H10:H84 H86:H91 H96:H107</xm:sqref>
        </x14:dataValidation>
        <x14:dataValidation type="list" allowBlank="1" showInputMessage="1" showErrorMessage="1" xr:uid="{17602D2B-F04D-4A8B-8B64-0764B5045664}">
          <x14:formula1>
            <xm:f>Options!$K$2:$K$51</xm:f>
          </x14:formula1>
          <xm:sqref>AL6:AL9</xm:sqref>
        </x14:dataValidation>
        <x14:dataValidation type="list" allowBlank="1" showInputMessage="1" showErrorMessage="1" xr:uid="{3CB966BC-37DC-4E85-8AE1-E2770A22E8E0}">
          <x14:formula1>
            <xm:f>Targets!#REF!</xm:f>
          </x14:formula1>
          <xm:sqref>AH85:AI85 AL85:AL86</xm:sqref>
        </x14:dataValidation>
        <x14:dataValidation type="list" allowBlank="1" showInputMessage="1" showErrorMessage="1" xr:uid="{AE8020DB-6363-43A4-BC8F-6AF0A619A65F}">
          <x14:formula1>
            <xm:f>Projectiles!#REF!</xm:f>
          </x14:formula1>
          <xm:sqref>J85</xm:sqref>
        </x14:dataValidation>
        <x14:dataValidation type="list" allowBlank="1" showInputMessage="1" showErrorMessage="1" xr:uid="{563F5B4F-22BC-498D-8C00-5406D4AC51CB}">
          <x14:formula1>
            <xm:f>Options!#REF!</xm:f>
          </x14:formula1>
          <xm:sqref>Z85 P85 W85 K85:M85 G85:I85 AE85:AG85 AJ85:AK85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585B-0E7D-4FD9-8B56-0FB8CD373370}">
  <dimension ref="A1:E39"/>
  <sheetViews>
    <sheetView workbookViewId="0">
      <selection activeCell="M27" sqref="M27"/>
    </sheetView>
  </sheetViews>
  <sheetFormatPr defaultColWidth="8.85546875" defaultRowHeight="12.75"/>
  <cols>
    <col min="1" max="1" width="37.42578125" customWidth="1"/>
    <col min="2" max="3" width="25.140625" customWidth="1"/>
    <col min="4" max="4" width="21.85546875" customWidth="1"/>
    <col min="5" max="5" width="27" customWidth="1"/>
  </cols>
  <sheetData>
    <row r="1" spans="1:5">
      <c r="A1" s="296" t="str">
        <f>Data!A5</f>
        <v>Test ID</v>
      </c>
      <c r="B1" s="296" t="str">
        <f>Data!O5</f>
        <v>Projectile Package Mass (g)</v>
      </c>
      <c r="C1" s="296" t="s">
        <v>340</v>
      </c>
      <c r="D1" s="297" t="str">
        <f>Data!S5</f>
        <v>Projectile Velocity (m/s)</v>
      </c>
      <c r="E1" s="298" t="str">
        <f>Data!Y5</f>
        <v>Target Tank Pressure (Torr)</v>
      </c>
    </row>
    <row r="2" spans="1:5">
      <c r="A2" s="106" t="str">
        <f>Data!A19</f>
        <v>HVIL001-HDPE-RT-PC-C12.7-0014</v>
      </c>
      <c r="B2" s="106">
        <f>Data!O19</f>
        <v>2.1869999999999998</v>
      </c>
      <c r="C2" s="106">
        <f t="shared" ref="C2:C25" si="0">B2/MAX(B:B)</f>
        <v>0.64191370707367179</v>
      </c>
      <c r="D2" s="201">
        <f>Data!S19</f>
        <v>6498.8549667434099</v>
      </c>
      <c r="E2" s="12">
        <f>Data!Y19</f>
        <v>1</v>
      </c>
    </row>
    <row r="3" spans="1:5">
      <c r="A3" s="106" t="str">
        <f>Data!A27</f>
        <v>HVIL001-HDPE-RT-PC-C12.7-0022</v>
      </c>
      <c r="B3" s="106">
        <f>Data!O27</f>
        <v>2.1869999999999998</v>
      </c>
      <c r="C3" s="106">
        <f t="shared" si="0"/>
        <v>0.64191370707367179</v>
      </c>
      <c r="D3" s="201">
        <f>Data!S27</f>
        <v>6663.6856298796647</v>
      </c>
      <c r="E3" s="12">
        <f>Data!Y27</f>
        <v>1</v>
      </c>
    </row>
    <row r="4" spans="1:5">
      <c r="A4" s="106" t="str">
        <f>Data!A6</f>
        <v>HVIL-CCRT-MAS06-0001</v>
      </c>
      <c r="B4" s="106">
        <f>Data!O6</f>
        <v>2.2919999999999998</v>
      </c>
      <c r="C4" s="106">
        <f t="shared" si="0"/>
        <v>0.67273260933372458</v>
      </c>
      <c r="D4" s="201">
        <f>Data!S6</f>
        <v>4203.3</v>
      </c>
      <c r="E4" s="12">
        <f>Data!Y6</f>
        <v>298</v>
      </c>
    </row>
    <row r="5" spans="1:5">
      <c r="A5" s="106" t="str">
        <f>Data!A7</f>
        <v>HVIL-CSCRT-MAS06-0002</v>
      </c>
      <c r="B5" s="106">
        <f>Data!O7</f>
        <v>2.2919999999999998</v>
      </c>
      <c r="C5" s="106">
        <f t="shared" si="0"/>
        <v>0.67273260933372458</v>
      </c>
      <c r="D5" s="201">
        <f>Data!S7</f>
        <v>6756.7567567567576</v>
      </c>
      <c r="E5" s="12">
        <f>Data!Y7</f>
        <v>251</v>
      </c>
    </row>
    <row r="6" spans="1:5">
      <c r="A6" s="106" t="str">
        <f>Data!A8</f>
        <v>HVIL-CSCRT-MAS06-0003</v>
      </c>
      <c r="B6" s="106">
        <f>Data!O8</f>
        <v>2.2919999999999998</v>
      </c>
      <c r="C6" s="106">
        <f t="shared" si="0"/>
        <v>0.67273260933372458</v>
      </c>
      <c r="D6" s="201">
        <f>Data!S8</f>
        <v>6900</v>
      </c>
      <c r="E6" s="12">
        <f>Data!Y8</f>
        <v>200</v>
      </c>
    </row>
    <row r="7" spans="1:5">
      <c r="A7" s="106" t="str">
        <f>Data!A9</f>
        <v>HVIL-CSCRT-MAS06-0004</v>
      </c>
      <c r="B7" s="106">
        <f>Data!O9</f>
        <v>2.2970000000000002</v>
      </c>
      <c r="C7" s="106">
        <f t="shared" si="0"/>
        <v>0.67420017610801297</v>
      </c>
      <c r="D7" s="201">
        <f>Data!S9</f>
        <v>4010.6951871657757</v>
      </c>
      <c r="E7" s="12">
        <f>Data!Y9</f>
        <v>250</v>
      </c>
    </row>
    <row r="8" spans="1:5">
      <c r="A8" s="106" t="str">
        <f>Data!A16</f>
        <v>HVIL001-AL-RT-RN-C12.7-0011</v>
      </c>
      <c r="B8" s="106">
        <f>Data!O16</f>
        <v>2.802</v>
      </c>
      <c r="C8" s="106">
        <f t="shared" si="0"/>
        <v>0.82242442031112417</v>
      </c>
      <c r="D8" s="201">
        <f>Data!S16</f>
        <v>4731.7065600001215</v>
      </c>
      <c r="E8" s="12">
        <f>Data!Y16</f>
        <v>1</v>
      </c>
    </row>
    <row r="9" spans="1:5">
      <c r="A9" s="106" t="str">
        <f>Data!A17</f>
        <v>HVIL001-HDPE-RT-SS-S06.0-0012</v>
      </c>
      <c r="B9" s="106">
        <f>Data!O17</f>
        <v>2.8760000000000003</v>
      </c>
      <c r="C9" s="106">
        <f t="shared" si="0"/>
        <v>0.84414440857059003</v>
      </c>
      <c r="D9" s="201">
        <f>Data!S17</f>
        <v>6060.606060606061</v>
      </c>
      <c r="E9" s="12">
        <f>Data!Y17</f>
        <v>175</v>
      </c>
    </row>
    <row r="10" spans="1:5">
      <c r="A10" s="106" t="str">
        <f>Data!A15</f>
        <v>HVIL001-AL-RT-RN-C12.7-0010</v>
      </c>
      <c r="B10" s="106">
        <f>Data!O15</f>
        <v>2.9119999999999999</v>
      </c>
      <c r="C10" s="106">
        <f t="shared" si="0"/>
        <v>0.85471088934546524</v>
      </c>
      <c r="D10" s="201">
        <f>Data!S15</f>
        <v>5757.5396420998204</v>
      </c>
      <c r="E10" s="12">
        <f>Data!Y15</f>
        <v>1</v>
      </c>
    </row>
    <row r="11" spans="1:5">
      <c r="A11" s="106" t="str">
        <f>Data!A18</f>
        <v>HVIL001-HDPE-RT-SS-S06.0-0013</v>
      </c>
      <c r="B11" s="106">
        <f>Data!O18</f>
        <v>2.9119999999999999</v>
      </c>
      <c r="C11" s="106">
        <f t="shared" si="0"/>
        <v>0.85471088934546524</v>
      </c>
      <c r="D11" s="201">
        <f>Data!S18</f>
        <v>4908.4218554943918</v>
      </c>
      <c r="E11" s="12">
        <f>Data!Y18</f>
        <v>250</v>
      </c>
    </row>
    <row r="12" spans="1:5">
      <c r="A12" s="106" t="str">
        <f>Data!A11</f>
        <v>HVIL001-AL-RT-PC-C12.7-0006</v>
      </c>
      <c r="B12" s="106">
        <f>Data!O11</f>
        <v>3.1779999999999999</v>
      </c>
      <c r="C12" s="106">
        <f t="shared" si="0"/>
        <v>0.93278544173759903</v>
      </c>
      <c r="D12" s="201">
        <f>Data!S11</f>
        <v>5222.0537355595861</v>
      </c>
      <c r="E12" s="12">
        <f>Data!Y11</f>
        <v>1</v>
      </c>
    </row>
    <row r="13" spans="1:5">
      <c r="A13" s="106" t="str">
        <f>Data!A12</f>
        <v>HVIL001-AL-RT-PC-C12.7-0007</v>
      </c>
      <c r="B13" s="106">
        <f>Data!O12</f>
        <v>3.1779999999999999</v>
      </c>
      <c r="C13" s="106">
        <f t="shared" si="0"/>
        <v>0.93278544173759903</v>
      </c>
      <c r="D13" s="201">
        <f>Data!S12</f>
        <v>4826.2138313883052</v>
      </c>
      <c r="E13" s="12">
        <f>Data!Y12</f>
        <v>198</v>
      </c>
    </row>
    <row r="14" spans="1:5">
      <c r="A14" s="106" t="str">
        <f>Data!A10</f>
        <v>HVIL001-AL-RT-PC-C12.7-0005</v>
      </c>
      <c r="B14" s="106">
        <f>Data!O10</f>
        <v>3.18</v>
      </c>
      <c r="C14" s="106">
        <f t="shared" si="0"/>
        <v>0.93337246844731436</v>
      </c>
      <c r="D14" s="201">
        <f>Data!S10</f>
        <v>4515.4932896458358</v>
      </c>
      <c r="E14" s="12">
        <f>Data!Y10</f>
        <v>198</v>
      </c>
    </row>
    <row r="15" spans="1:5">
      <c r="A15" s="106" t="str">
        <f>Data!A13</f>
        <v>HVIL001-AL-RT-PC-C12.7-0008</v>
      </c>
      <c r="B15" s="106">
        <f>Data!O13</f>
        <v>3.1819999999999999</v>
      </c>
      <c r="C15" s="106">
        <f t="shared" si="0"/>
        <v>0.93395949515702958</v>
      </c>
      <c r="D15" s="201">
        <f>Data!S13</f>
        <v>6022.4547224325897</v>
      </c>
      <c r="E15" s="12">
        <f>Data!Y13</f>
        <v>1</v>
      </c>
    </row>
    <row r="16" spans="1:5">
      <c r="A16" s="106" t="str">
        <f>Data!A22</f>
        <v>HVIL001-UHMWPE-RT-AL-S10.0-0017</v>
      </c>
      <c r="B16" s="106">
        <f>Data!O22</f>
        <v>3.3809999999999998</v>
      </c>
      <c r="C16" s="106">
        <f t="shared" si="0"/>
        <v>0.99236865277370112</v>
      </c>
      <c r="D16" s="201">
        <f>Data!S22</f>
        <v>4859.8626214034184</v>
      </c>
      <c r="E16" s="12">
        <f>Data!Y22</f>
        <v>210</v>
      </c>
    </row>
    <row r="17" spans="1:5">
      <c r="A17" s="106" t="str">
        <f>Data!A23</f>
        <v>HVIL001-HDPE-RT-AL-S10.0-0018</v>
      </c>
      <c r="B17" s="106">
        <f>Data!O23</f>
        <v>3.3820000000000001</v>
      </c>
      <c r="C17" s="106">
        <f t="shared" si="0"/>
        <v>0.99266216612855884</v>
      </c>
      <c r="D17" s="118" t="str">
        <f>Data!S23</f>
        <v>N/A</v>
      </c>
      <c r="E17" s="12">
        <f>Data!Y23</f>
        <v>210</v>
      </c>
    </row>
    <row r="18" spans="1:5">
      <c r="A18" s="106" t="str">
        <f>Data!A29</f>
        <v>HVIL001-HDPE-RT-AL-S10.0-0024</v>
      </c>
      <c r="B18" s="106">
        <f>Data!O29</f>
        <v>3.383</v>
      </c>
      <c r="C18" s="106">
        <f t="shared" si="0"/>
        <v>0.99295567948341645</v>
      </c>
      <c r="D18" s="201">
        <f>Data!S29</f>
        <v>5342.4595839816038</v>
      </c>
      <c r="E18" s="12">
        <f>Data!Y29</f>
        <v>199</v>
      </c>
    </row>
    <row r="19" spans="1:5">
      <c r="A19" s="106" t="str">
        <f>Data!A20</f>
        <v>HVIL001-HDPE-RT-AL-S10.0-0015</v>
      </c>
      <c r="B19" s="106">
        <f>Data!O20</f>
        <v>3.3849999999999998</v>
      </c>
      <c r="C19" s="106">
        <f t="shared" si="0"/>
        <v>0.99354270619313168</v>
      </c>
      <c r="D19" s="201">
        <f>Data!S20</f>
        <v>4676.4484562552625</v>
      </c>
      <c r="E19" s="12">
        <f>Data!Y20</f>
        <v>210</v>
      </c>
    </row>
    <row r="20" spans="1:5">
      <c r="A20" s="106" t="str">
        <f>Data!A25</f>
        <v>HVIL001-LAYERP-RT-AL-S10.0-0020</v>
      </c>
      <c r="B20" s="106">
        <f>Data!O25</f>
        <v>3.3860000000000001</v>
      </c>
      <c r="C20" s="106">
        <f t="shared" si="0"/>
        <v>0.99383621954798951</v>
      </c>
      <c r="D20" s="201">
        <f>Data!S25</f>
        <v>4297.5894462663437</v>
      </c>
      <c r="E20" s="12">
        <f>Data!Y25</f>
        <v>200</v>
      </c>
    </row>
    <row r="21" spans="1:5">
      <c r="A21" s="106" t="str">
        <f>Data!A26</f>
        <v>HVIL001-HDPE-RT-AL-S10.0-0021</v>
      </c>
      <c r="B21" s="106">
        <f>Data!O26</f>
        <v>3.3879999999999999</v>
      </c>
      <c r="C21" s="106">
        <f t="shared" si="0"/>
        <v>0.99442324625770473</v>
      </c>
      <c r="D21" s="201">
        <f>Data!S26</f>
        <v>5495.5123005410678</v>
      </c>
      <c r="E21" s="12">
        <f>Data!Y26</f>
        <v>175</v>
      </c>
    </row>
    <row r="22" spans="1:5">
      <c r="A22" s="106" t="str">
        <f>Data!A28</f>
        <v>HVIL001-HDPE-RT-AL-S10.0-0023</v>
      </c>
      <c r="B22" s="106">
        <f>Data!O28</f>
        <v>3.39</v>
      </c>
      <c r="C22" s="106">
        <f t="shared" si="0"/>
        <v>0.99501027296742006</v>
      </c>
      <c r="D22" s="201">
        <f>Data!S28</f>
        <v>5229.5277194341643</v>
      </c>
      <c r="E22" s="12">
        <f>Data!Y28</f>
        <v>200</v>
      </c>
    </row>
    <row r="23" spans="1:5">
      <c r="A23" s="106" t="str">
        <f>Data!A14</f>
        <v>HVIL001-AL-RT-RN-C12.7-0009</v>
      </c>
      <c r="B23" s="106">
        <f>Data!O14</f>
        <v>3.3940000000000001</v>
      </c>
      <c r="C23" s="106">
        <f t="shared" si="0"/>
        <v>0.99618432638685062</v>
      </c>
      <c r="D23" s="201">
        <f>Data!S14</f>
        <v>4361.532740885018</v>
      </c>
      <c r="E23" s="12">
        <f>Data!Y14</f>
        <v>157</v>
      </c>
    </row>
    <row r="24" spans="1:5">
      <c r="A24" s="106" t="str">
        <f>Data!A21</f>
        <v>HVIL001-HDPE-RT-AL-S10.0-0016</v>
      </c>
      <c r="B24" s="106">
        <f>Data!O21</f>
        <v>3.395</v>
      </c>
      <c r="C24" s="106">
        <f t="shared" si="0"/>
        <v>0.99647783974170823</v>
      </c>
      <c r="D24" s="201">
        <f>Data!S21</f>
        <v>5206.9860256991833</v>
      </c>
      <c r="E24" s="12">
        <f>Data!Y21</f>
        <v>252</v>
      </c>
    </row>
    <row r="25" spans="1:5">
      <c r="A25" s="106" t="str">
        <f>Data!A24</f>
        <v>HVIL001-UHMWPE-RT-AL-S10.0-0019</v>
      </c>
      <c r="B25" s="106">
        <f>Data!O24</f>
        <v>3.407</v>
      </c>
      <c r="C25" s="106">
        <f t="shared" si="0"/>
        <v>1</v>
      </c>
      <c r="D25" s="201">
        <f>Data!S24</f>
        <v>5404.5498310843977</v>
      </c>
      <c r="E25" s="12">
        <f>Data!Y24</f>
        <v>200</v>
      </c>
    </row>
    <row r="26" spans="1:5">
      <c r="A26" s="106" t="str">
        <f>Data!A30</f>
        <v>HVIL001-HDPE-RT-AL-S10.0-0025</v>
      </c>
      <c r="B26" s="106"/>
      <c r="C26" s="106"/>
      <c r="D26" s="201"/>
      <c r="E26" s="12"/>
    </row>
    <row r="27" spans="1:5">
      <c r="A27" s="106" t="str">
        <f>Data!A31</f>
        <v>HVIL001-UHMWPE-RT-RN-C12.7-0026</v>
      </c>
      <c r="B27" s="106"/>
      <c r="C27" s="106"/>
      <c r="D27" s="201"/>
      <c r="E27" s="12"/>
    </row>
    <row r="28" spans="1:5">
      <c r="A28" s="106" t="str">
        <f>Data!A32</f>
        <v>HVIL001-UHMWPE-RT-ST-S10.0-0027</v>
      </c>
      <c r="B28" s="106"/>
      <c r="C28" s="106"/>
      <c r="D28" s="201"/>
      <c r="E28" s="12"/>
    </row>
    <row r="29" spans="1:5">
      <c r="A29" s="106" t="str">
        <f>Data!A33</f>
        <v>HVIL001-UHMWPE-RT-AL-S10.0-0028</v>
      </c>
      <c r="B29" s="106"/>
      <c r="C29" s="106"/>
      <c r="D29" s="201"/>
      <c r="E29" s="12"/>
    </row>
    <row r="30" spans="1:5">
      <c r="A30" s="106" t="str">
        <f>Data!A34</f>
        <v>HVIL001-UHMWPE-RT-AL-S10.0-0029</v>
      </c>
      <c r="B30" s="106"/>
      <c r="C30" s="106"/>
      <c r="D30" s="201"/>
      <c r="E30" s="12"/>
    </row>
    <row r="31" spans="1:5">
      <c r="A31" s="106" t="str">
        <f>Data!A35</f>
        <v>HVIL001-UHMWPE-RT-AL-S10.0-0030</v>
      </c>
      <c r="B31" s="106"/>
      <c r="C31" s="106"/>
      <c r="D31" s="201"/>
      <c r="E31" s="12"/>
    </row>
    <row r="32" spans="1:5">
      <c r="A32" s="106" t="str">
        <f>Data!A36</f>
        <v>HVIL001-UHMWPE-RT-AL-S10.0-0031</v>
      </c>
      <c r="B32" s="106"/>
      <c r="C32" s="106"/>
      <c r="D32" s="201"/>
      <c r="E32" s="12"/>
    </row>
    <row r="33" spans="1:5">
      <c r="A33" s="106" t="str">
        <f>Data!A37</f>
        <v>HVIL001-UHMWPE-RT-AL-S10.0-0032</v>
      </c>
      <c r="B33" s="106"/>
      <c r="C33" s="106"/>
      <c r="D33" s="201"/>
      <c r="E33" s="12"/>
    </row>
    <row r="34" spans="1:5">
      <c r="A34" s="106" t="str">
        <f>Data!A38</f>
        <v>HVIL001-UHMWPE-RT-AL-S10.0-0033</v>
      </c>
      <c r="B34" s="106"/>
      <c r="C34" s="106"/>
      <c r="D34" s="201"/>
      <c r="E34" s="12"/>
    </row>
    <row r="35" spans="1:5">
      <c r="A35" s="106" t="str">
        <f>Data!A39</f>
        <v>HVIL001-HDPE-RT-AL-S10.0-0034</v>
      </c>
      <c r="B35" s="106"/>
      <c r="C35" s="106"/>
      <c r="D35" s="201"/>
      <c r="E35" s="12"/>
    </row>
    <row r="36" spans="1:5">
      <c r="A36" s="106" t="str">
        <f>Data!A40</f>
        <v>HVIL001-UHMWPE-RT-ST-S04.0-0035</v>
      </c>
      <c r="B36" s="106"/>
      <c r="C36" s="106"/>
      <c r="D36" s="201"/>
      <c r="E36" s="12"/>
    </row>
    <row r="37" spans="1:5">
      <c r="A37" s="106" t="str">
        <f>Data!A41</f>
        <v>HVIL001-UHMWPE-RT-AL-S10.0-0036</v>
      </c>
      <c r="B37" s="106"/>
      <c r="C37" s="106"/>
      <c r="D37" s="201"/>
      <c r="E37" s="12"/>
    </row>
    <row r="38" spans="1:5">
      <c r="A38" t="str">
        <f>Data!A42</f>
        <v>HVIL001-UHMWPE-RT-AL-S10.0-0037</v>
      </c>
    </row>
    <row r="39" spans="1:5">
      <c r="A39" t="str">
        <f>Data!A43</f>
        <v>HVIL001-UHMWPE-RT-AL-S10.0-0038</v>
      </c>
    </row>
  </sheetData>
  <sortState xmlns:xlrd2="http://schemas.microsoft.com/office/spreadsheetml/2017/richdata2" ref="A2:E39">
    <sortCondition ref="C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3E27-F319-4A67-B01E-5967BBC497C2}">
  <dimension ref="A1:X62"/>
  <sheetViews>
    <sheetView workbookViewId="0">
      <selection activeCell="O28" sqref="O28"/>
    </sheetView>
  </sheetViews>
  <sheetFormatPr defaultColWidth="8.85546875" defaultRowHeight="12.75"/>
  <cols>
    <col min="2" max="2" width="30.140625" customWidth="1"/>
    <col min="4" max="4" width="10" customWidth="1"/>
    <col min="6" max="6" width="17.42578125" customWidth="1"/>
    <col min="7" max="7" width="13.42578125" customWidth="1"/>
    <col min="8" max="8" width="8" style="68" customWidth="1"/>
    <col min="9" max="9" width="10.85546875" customWidth="1"/>
    <col min="10" max="10" width="9.140625" style="157"/>
    <col min="12" max="12" width="11.42578125" customWidth="1"/>
    <col min="13" max="13" width="12.7109375" customWidth="1"/>
    <col min="15" max="15" width="11.7109375" customWidth="1"/>
    <col min="19" max="24" width="9.140625" hidden="1" customWidth="1"/>
  </cols>
  <sheetData>
    <row r="1" spans="1:24">
      <c r="A1" s="428" t="s">
        <v>341</v>
      </c>
      <c r="B1" s="428"/>
      <c r="C1" s="110"/>
      <c r="K1" s="110"/>
      <c r="L1" s="110"/>
      <c r="M1" s="110"/>
      <c r="N1" s="120"/>
    </row>
    <row r="2" spans="1:24">
      <c r="A2" t="s">
        <v>5</v>
      </c>
      <c r="C2" s="110"/>
      <c r="E2" s="135"/>
      <c r="F2" s="135"/>
      <c r="K2" s="110"/>
      <c r="L2" s="110"/>
      <c r="M2" s="110"/>
      <c r="N2" s="120"/>
    </row>
    <row r="3" spans="1:24">
      <c r="A3" t="s">
        <v>342</v>
      </c>
      <c r="C3" s="110"/>
      <c r="K3" s="110"/>
      <c r="L3" s="110"/>
      <c r="M3" s="110"/>
      <c r="N3" s="120"/>
    </row>
    <row r="4" spans="1:24">
      <c r="C4" s="110"/>
      <c r="K4" s="110"/>
      <c r="L4" s="110"/>
      <c r="M4" s="110"/>
      <c r="N4" s="120"/>
    </row>
    <row r="5" spans="1:24">
      <c r="C5" s="110"/>
      <c r="K5" s="110"/>
      <c r="L5" s="110"/>
      <c r="M5" s="110"/>
      <c r="N5" s="120"/>
    </row>
    <row r="6" spans="1:24">
      <c r="C6" s="110"/>
      <c r="K6" s="110"/>
      <c r="L6" s="110"/>
      <c r="M6" s="110"/>
      <c r="N6" s="120"/>
    </row>
    <row r="7" spans="1:24">
      <c r="C7" s="110"/>
      <c r="K7" s="110"/>
      <c r="L7" s="110"/>
      <c r="M7" s="110"/>
      <c r="N7" s="120"/>
    </row>
    <row r="8" spans="1:24">
      <c r="C8" s="110"/>
      <c r="K8" s="110"/>
      <c r="L8" s="110"/>
      <c r="M8" s="110"/>
      <c r="N8" s="120"/>
    </row>
    <row r="9" spans="1:24">
      <c r="C9" s="110"/>
      <c r="K9" s="110"/>
      <c r="L9" s="110"/>
      <c r="M9" s="110"/>
      <c r="N9" s="120"/>
    </row>
    <row r="10" spans="1:24">
      <c r="C10" s="110"/>
      <c r="K10" s="110"/>
      <c r="L10" s="110"/>
      <c r="M10" s="110"/>
      <c r="N10" s="120"/>
    </row>
    <row r="11" spans="1:24" ht="63.75">
      <c r="A11" s="116" t="s">
        <v>248</v>
      </c>
      <c r="B11" s="144" t="s">
        <v>343</v>
      </c>
      <c r="C11" s="145" t="s">
        <v>250</v>
      </c>
      <c r="D11" s="146" t="s">
        <v>251</v>
      </c>
      <c r="E11" s="146" t="s">
        <v>12</v>
      </c>
      <c r="F11" s="146" t="s">
        <v>344</v>
      </c>
      <c r="G11" s="146" t="s">
        <v>14</v>
      </c>
      <c r="H11" s="180" t="s">
        <v>302</v>
      </c>
      <c r="I11" s="146" t="s">
        <v>20</v>
      </c>
      <c r="J11" s="158" t="s">
        <v>15</v>
      </c>
      <c r="K11" s="145" t="s">
        <v>345</v>
      </c>
      <c r="L11" s="147" t="s">
        <v>346</v>
      </c>
      <c r="M11" s="168" t="s">
        <v>347</v>
      </c>
      <c r="N11" s="247" t="s">
        <v>348</v>
      </c>
      <c r="O11" s="252" t="s">
        <v>304</v>
      </c>
      <c r="P11" s="429"/>
      <c r="Q11" s="429"/>
      <c r="R11" s="429"/>
      <c r="S11" s="430" t="s">
        <v>248</v>
      </c>
      <c r="T11" s="431" t="s">
        <v>349</v>
      </c>
      <c r="U11" s="431" t="s">
        <v>350</v>
      </c>
      <c r="V11" s="431" t="s">
        <v>351</v>
      </c>
      <c r="W11" s="441" t="s">
        <v>352</v>
      </c>
      <c r="X11" s="442" t="s">
        <v>353</v>
      </c>
    </row>
    <row r="12" spans="1:24">
      <c r="A12" s="143" t="s">
        <v>70</v>
      </c>
      <c r="B12" s="141" t="s">
        <v>68</v>
      </c>
      <c r="C12" s="142" t="s">
        <v>70</v>
      </c>
      <c r="D12" s="142" t="s">
        <v>70</v>
      </c>
      <c r="E12" s="141" t="s">
        <v>70</v>
      </c>
      <c r="F12" s="141" t="s">
        <v>70</v>
      </c>
      <c r="G12" s="141" t="s">
        <v>70</v>
      </c>
      <c r="H12" s="181" t="s">
        <v>70</v>
      </c>
      <c r="I12" s="141" t="s">
        <v>70</v>
      </c>
      <c r="J12" s="159" t="s">
        <v>70</v>
      </c>
      <c r="K12" s="142" t="s">
        <v>70</v>
      </c>
      <c r="L12" s="142" t="s">
        <v>70</v>
      </c>
      <c r="M12" s="169" t="s">
        <v>70</v>
      </c>
      <c r="N12" s="248" t="s">
        <v>70</v>
      </c>
      <c r="O12" s="253"/>
      <c r="P12" s="138"/>
      <c r="Q12" s="138"/>
      <c r="R12" s="138"/>
      <c r="S12" s="136"/>
      <c r="T12" s="137"/>
      <c r="U12" s="137"/>
      <c r="V12" s="137"/>
      <c r="W12" s="163"/>
      <c r="X12" s="132"/>
    </row>
    <row r="13" spans="1:24">
      <c r="A13" s="126" t="s">
        <v>82</v>
      </c>
      <c r="B13" s="148" t="str">
        <f>IF(A13&lt;&gt;"",N13&amp;"-"&amp;T13&amp;V13&amp;"-"&amp;G13&amp;"-"&amp;IF(ISNUMBER(W13),"D"&amp;ROUND(W13,0)&amp;"-","")&amp;IF(ISNUMBER(X13),"LD"&amp;ROUND(X13,1),""),"")</f>
        <v>HVIL01-MS-SS304-D4-LD1</v>
      </c>
      <c r="C13" s="149">
        <v>25</v>
      </c>
      <c r="D13" s="150">
        <f>IF(ISNUMBER(C13),C13-COUNTIF(Data!J6:J107,B13),"")</f>
        <v>25</v>
      </c>
      <c r="E13" s="150" t="s">
        <v>66</v>
      </c>
      <c r="F13" s="150" t="s">
        <v>98</v>
      </c>
      <c r="G13" s="150" t="s">
        <v>305</v>
      </c>
      <c r="H13" s="182">
        <v>100</v>
      </c>
      <c r="I13" s="150" t="s">
        <v>69</v>
      </c>
      <c r="J13" s="160">
        <v>4</v>
      </c>
      <c r="K13" s="149">
        <v>1</v>
      </c>
      <c r="L13" s="151"/>
      <c r="M13" s="170">
        <v>3.17</v>
      </c>
      <c r="N13" s="249" t="s">
        <v>282</v>
      </c>
      <c r="O13" s="257"/>
      <c r="S13" s="107" t="str">
        <f t="shared" ref="S13:S18" si="0">IF(A13&lt;&gt;"",A13,"")</f>
        <v>HVIL001</v>
      </c>
      <c r="T13" s="106" t="str">
        <f t="shared" ref="T13:T18" si="1">IF(A13&lt;&gt;"",LEFT(E13,1),"")</f>
        <v>M</v>
      </c>
      <c r="U13" s="106" t="str">
        <f t="shared" ref="U13:U18" si="2">IF(A13&lt;&gt;"",LEFT(F13,1),"")</f>
        <v>S</v>
      </c>
      <c r="V13" s="106" t="str">
        <f>IF(A13&lt;&gt;"",LEFT(I13,1),"")</f>
        <v>S</v>
      </c>
      <c r="W13" s="164">
        <f>IF(ISNUMBER(J13),J13,"")</f>
        <v>4</v>
      </c>
      <c r="X13" s="174">
        <f>IF(ISNUMBER(K13),K13,"")</f>
        <v>1</v>
      </c>
    </row>
    <row r="14" spans="1:24">
      <c r="A14" s="126" t="s">
        <v>82</v>
      </c>
      <c r="B14" s="148" t="str">
        <f t="shared" ref="B14:B17" si="3">IF(A14&lt;&gt;"",N14&amp;"-"&amp;T14&amp;V14&amp;"-"&amp;G14&amp;"-"&amp;IF(ISNUMBER(W14),"D"&amp;ROUND(W14,0)&amp;"-","")&amp;IF(ISNUMBER(X14),"LD"&amp;ROUND(X14,1),""),"")</f>
        <v>HVIL01-MS-SS304-D6-LD1</v>
      </c>
      <c r="C14" s="127">
        <v>25</v>
      </c>
      <c r="D14" s="150">
        <f>IF(ISNUMBER(C14),C14-COUNTIF(Data!J7:J108,B14),"")</f>
        <v>23</v>
      </c>
      <c r="E14" s="150" t="s">
        <v>66</v>
      </c>
      <c r="F14" s="150" t="s">
        <v>98</v>
      </c>
      <c r="G14" s="150" t="s">
        <v>305</v>
      </c>
      <c r="H14" s="182">
        <v>100</v>
      </c>
      <c r="I14" s="150" t="s">
        <v>69</v>
      </c>
      <c r="J14" s="161">
        <v>6</v>
      </c>
      <c r="K14" s="127">
        <v>1</v>
      </c>
      <c r="L14" s="129"/>
      <c r="M14" s="170">
        <v>3.34</v>
      </c>
      <c r="N14" s="249" t="s">
        <v>282</v>
      </c>
      <c r="O14" s="257"/>
      <c r="S14" s="107" t="str">
        <f t="shared" si="0"/>
        <v>HVIL001</v>
      </c>
      <c r="T14" s="106" t="str">
        <f t="shared" si="1"/>
        <v>M</v>
      </c>
      <c r="U14" s="106" t="str">
        <f t="shared" si="2"/>
        <v>S</v>
      </c>
      <c r="V14" s="106" t="str">
        <f t="shared" ref="V14:V62" si="4">IF(A14&lt;&gt;"",LEFT(I14,1),"")</f>
        <v>S</v>
      </c>
      <c r="W14" s="164">
        <f t="shared" ref="W14:W62" si="5">IF(ISNUMBER(J14),J14,"")</f>
        <v>6</v>
      </c>
      <c r="X14" s="174">
        <f t="shared" ref="X14:X62" si="6">IF(ISNUMBER(K14),K14,"")</f>
        <v>1</v>
      </c>
    </row>
    <row r="15" spans="1:24">
      <c r="A15" s="126" t="s">
        <v>82</v>
      </c>
      <c r="B15" s="148" t="str">
        <f t="shared" si="3"/>
        <v>HVIL01-MS-SS304-D10-LD1</v>
      </c>
      <c r="C15" s="127">
        <v>25</v>
      </c>
      <c r="D15" s="150">
        <f>IF(ISNUMBER(C15),C15-COUNTIF(Data!J8:J109,B15),"")</f>
        <v>25</v>
      </c>
      <c r="E15" s="150" t="s">
        <v>66</v>
      </c>
      <c r="F15" s="150" t="s">
        <v>98</v>
      </c>
      <c r="G15" s="150" t="s">
        <v>305</v>
      </c>
      <c r="H15" s="182">
        <v>100</v>
      </c>
      <c r="I15" s="150" t="s">
        <v>69</v>
      </c>
      <c r="J15" s="161">
        <v>10</v>
      </c>
      <c r="K15" s="127">
        <v>1</v>
      </c>
      <c r="L15" s="129"/>
      <c r="M15" s="170">
        <v>4.1399999999999997</v>
      </c>
      <c r="N15" s="249" t="s">
        <v>282</v>
      </c>
      <c r="O15" s="257"/>
      <c r="S15" s="107" t="str">
        <f t="shared" si="0"/>
        <v>HVIL001</v>
      </c>
      <c r="T15" s="106" t="str">
        <f t="shared" si="1"/>
        <v>M</v>
      </c>
      <c r="U15" s="106" t="str">
        <f t="shared" si="2"/>
        <v>S</v>
      </c>
      <c r="V15" s="106" t="str">
        <f t="shared" si="4"/>
        <v>S</v>
      </c>
      <c r="W15" s="164">
        <f t="shared" si="5"/>
        <v>10</v>
      </c>
      <c r="X15" s="174">
        <f t="shared" si="6"/>
        <v>1</v>
      </c>
    </row>
    <row r="16" spans="1:24">
      <c r="A16" s="126" t="s">
        <v>82</v>
      </c>
      <c r="B16" s="148" t="str">
        <f t="shared" si="3"/>
        <v>HVIL01-MS-AL1050-D10-LD1</v>
      </c>
      <c r="C16" s="127">
        <v>50</v>
      </c>
      <c r="D16" s="150">
        <f>IF(ISNUMBER(C16),C16-COUNTIF(Data!J9:J110,B16),"")</f>
        <v>-1</v>
      </c>
      <c r="E16" s="150" t="s">
        <v>66</v>
      </c>
      <c r="F16" s="150" t="s">
        <v>67</v>
      </c>
      <c r="G16" s="128" t="s">
        <v>309</v>
      </c>
      <c r="H16" s="182">
        <v>200</v>
      </c>
      <c r="I16" s="150" t="s">
        <v>69</v>
      </c>
      <c r="J16" s="161">
        <v>10</v>
      </c>
      <c r="K16" s="127">
        <v>1</v>
      </c>
      <c r="L16" s="129"/>
      <c r="M16" s="170">
        <v>5.28</v>
      </c>
      <c r="N16" s="249" t="s">
        <v>282</v>
      </c>
      <c r="O16" s="257"/>
      <c r="S16" s="107" t="str">
        <f t="shared" si="0"/>
        <v>HVIL001</v>
      </c>
      <c r="T16" s="106" t="str">
        <f t="shared" si="1"/>
        <v>M</v>
      </c>
      <c r="U16" s="106" t="str">
        <f t="shared" si="2"/>
        <v>A</v>
      </c>
      <c r="V16" s="106" t="str">
        <f t="shared" si="4"/>
        <v>S</v>
      </c>
      <c r="W16" s="164">
        <f t="shared" si="5"/>
        <v>10</v>
      </c>
      <c r="X16" s="174">
        <f t="shared" si="6"/>
        <v>1</v>
      </c>
    </row>
    <row r="17" spans="1:24">
      <c r="A17" s="126" t="s">
        <v>82</v>
      </c>
      <c r="B17" s="148" t="str">
        <f t="shared" si="3"/>
        <v>HVIL01-PS-PC-D6-LD1</v>
      </c>
      <c r="C17" s="127">
        <v>12</v>
      </c>
      <c r="D17" s="150">
        <f>IF(ISNUMBER(C17),C17-COUNTIF(Data!J10:J111,B17),"")</f>
        <v>12</v>
      </c>
      <c r="E17" s="128" t="s">
        <v>83</v>
      </c>
      <c r="F17" s="128" t="s">
        <v>84</v>
      </c>
      <c r="G17" s="128" t="s">
        <v>311</v>
      </c>
      <c r="H17" s="183" t="s">
        <v>70</v>
      </c>
      <c r="I17" s="150" t="s">
        <v>69</v>
      </c>
      <c r="J17" s="161">
        <v>6.4</v>
      </c>
      <c r="K17" s="127">
        <v>1</v>
      </c>
      <c r="L17" s="129"/>
      <c r="M17" s="176"/>
      <c r="N17" s="249" t="s">
        <v>282</v>
      </c>
      <c r="O17" s="257"/>
      <c r="S17" s="107" t="str">
        <f t="shared" si="0"/>
        <v>HVIL001</v>
      </c>
      <c r="T17" s="106" t="str">
        <f t="shared" si="1"/>
        <v>P</v>
      </c>
      <c r="U17" s="106" t="str">
        <f t="shared" si="2"/>
        <v>P</v>
      </c>
      <c r="V17" s="106" t="str">
        <f t="shared" si="4"/>
        <v>S</v>
      </c>
      <c r="W17" s="164">
        <f t="shared" si="5"/>
        <v>6.4</v>
      </c>
      <c r="X17" s="174">
        <f t="shared" si="6"/>
        <v>1</v>
      </c>
    </row>
    <row r="18" spans="1:24">
      <c r="A18" s="126" t="s">
        <v>82</v>
      </c>
      <c r="B18" s="148" t="str">
        <f>IF(A18&lt;&gt;"",N18&amp;"-"&amp;T18&amp;V18&amp;"-"&amp;G18&amp;"-"&amp;IF(ISNUMBER(W18),"D"&amp;ROUND(W18,1)&amp;"-","")&amp;IF(ISNUMBER(X18),"LD"&amp;ROUND(X18,2),""),"")</f>
        <v>HVIL01-PC-PC-D12.7-LD1.66</v>
      </c>
      <c r="C18" s="127">
        <v>4</v>
      </c>
      <c r="D18" s="150">
        <f>IF(ISNUMBER(C18),C18-COUNTIF(Data!J$6:J$112,B18),"")</f>
        <v>0</v>
      </c>
      <c r="E18" s="128" t="s">
        <v>83</v>
      </c>
      <c r="F18" s="128" t="s">
        <v>84</v>
      </c>
      <c r="G18" s="128" t="s">
        <v>311</v>
      </c>
      <c r="H18" s="183" t="s">
        <v>70</v>
      </c>
      <c r="I18" s="128" t="s">
        <v>271</v>
      </c>
      <c r="J18" s="161">
        <v>12.7</v>
      </c>
      <c r="K18" s="127">
        <v>1.66</v>
      </c>
      <c r="L18" s="129"/>
      <c r="M18" s="176"/>
      <c r="N18" s="249" t="s">
        <v>282</v>
      </c>
      <c r="O18" s="257"/>
      <c r="S18" s="107" t="str">
        <f t="shared" si="0"/>
        <v>HVIL001</v>
      </c>
      <c r="T18" s="106" t="str">
        <f t="shared" si="1"/>
        <v>P</v>
      </c>
      <c r="U18" s="106" t="str">
        <f t="shared" si="2"/>
        <v>P</v>
      </c>
      <c r="V18" s="106" t="str">
        <f t="shared" si="4"/>
        <v>C</v>
      </c>
      <c r="W18" s="164">
        <f t="shared" si="5"/>
        <v>12.7</v>
      </c>
      <c r="X18" s="174">
        <f t="shared" si="6"/>
        <v>1.66</v>
      </c>
    </row>
    <row r="19" spans="1:24">
      <c r="A19" s="126" t="s">
        <v>82</v>
      </c>
      <c r="B19" s="148" t="str">
        <f>IF(A19&lt;&gt;"",N19&amp;"-"&amp;T19&amp;V19&amp;"-"&amp;G19&amp;"-"&amp;IF(ISNUMBER(W19),"D"&amp;ROUND(W19,1)&amp;"-","")&amp;IF(ISNUMBER(X19),"LD"&amp;ROUND(X19,2),""),"")</f>
        <v>HVIL01-PC-PC-D12.7-LD1.16</v>
      </c>
      <c r="C19" s="127">
        <v>5</v>
      </c>
      <c r="D19" s="150">
        <f>IF(ISNUMBER(C19),C19-COUNTIF(Data!J$6:J$112,B19),"")</f>
        <v>1</v>
      </c>
      <c r="E19" s="128" t="s">
        <v>83</v>
      </c>
      <c r="F19" s="128" t="s">
        <v>84</v>
      </c>
      <c r="G19" s="128" t="s">
        <v>311</v>
      </c>
      <c r="H19" s="183" t="s">
        <v>70</v>
      </c>
      <c r="I19" s="128" t="s">
        <v>271</v>
      </c>
      <c r="J19" s="161">
        <v>12.7</v>
      </c>
      <c r="K19" s="127">
        <v>1.1599999999999999</v>
      </c>
      <c r="L19" s="129"/>
      <c r="M19" s="176"/>
      <c r="N19" s="249" t="s">
        <v>282</v>
      </c>
      <c r="O19" s="257"/>
      <c r="S19" s="107" t="str">
        <f t="shared" ref="S19:S62" si="7">IF(A19&lt;&gt;"",A19,"")</f>
        <v>HVIL001</v>
      </c>
      <c r="T19" s="106" t="str">
        <f t="shared" ref="T19:T62" si="8">IF(A19&lt;&gt;"",LEFT(E19,1),"")</f>
        <v>P</v>
      </c>
      <c r="U19" s="106" t="str">
        <f t="shared" ref="U19:U62" si="9">IF(A19&lt;&gt;"",LEFT(F19,1),"")</f>
        <v>P</v>
      </c>
      <c r="V19" s="106" t="str">
        <f t="shared" si="4"/>
        <v>C</v>
      </c>
      <c r="W19" s="164">
        <f t="shared" si="5"/>
        <v>12.7</v>
      </c>
      <c r="X19" s="174">
        <f t="shared" si="6"/>
        <v>1.1599999999999999</v>
      </c>
    </row>
    <row r="20" spans="1:24">
      <c r="A20" s="126" t="s">
        <v>82</v>
      </c>
      <c r="B20" s="166" t="str">
        <f t="shared" ref="B20:B62" si="10">IF(A20&lt;&gt;"",N20&amp;"-"&amp;T20&amp;V20&amp;"-"&amp;G20&amp;"-"&amp;IF(ISNUMBER(W20),"D"&amp;ROUND(W20,1)&amp;"-","")&amp;IF(ISNUMBER(X20),"LD"&amp;ROUND(X20,2),""),"")</f>
        <v>HVIL01-PC-FLRIG-D12.7-LD1.66</v>
      </c>
      <c r="C20" s="111">
        <v>1</v>
      </c>
      <c r="D20" s="173">
        <f>IF(ISNUMBER(C20),C20-COUNTIF(Data!J$6:J$112,B20),"")</f>
        <v>0</v>
      </c>
      <c r="E20" s="106" t="s">
        <v>83</v>
      </c>
      <c r="F20" s="106" t="s">
        <v>91</v>
      </c>
      <c r="G20" s="106" t="s">
        <v>319</v>
      </c>
      <c r="H20" s="184" t="s">
        <v>70</v>
      </c>
      <c r="I20" s="106" t="s">
        <v>271</v>
      </c>
      <c r="J20" s="156">
        <v>12.7</v>
      </c>
      <c r="K20" s="111">
        <v>1.66</v>
      </c>
      <c r="L20" s="118">
        <v>3.3940000000000001</v>
      </c>
      <c r="M20" s="171" t="s">
        <v>354</v>
      </c>
      <c r="N20" s="250" t="s">
        <v>282</v>
      </c>
      <c r="O20" s="132" t="s">
        <v>306</v>
      </c>
      <c r="S20" s="107" t="str">
        <f t="shared" si="7"/>
        <v>HVIL001</v>
      </c>
      <c r="T20" s="106" t="str">
        <f t="shared" si="8"/>
        <v>P</v>
      </c>
      <c r="U20" s="106" t="str">
        <f t="shared" si="9"/>
        <v>R</v>
      </c>
      <c r="V20" s="106" t="str">
        <f t="shared" si="4"/>
        <v>C</v>
      </c>
      <c r="W20" s="164">
        <f t="shared" si="5"/>
        <v>12.7</v>
      </c>
      <c r="X20" s="174">
        <f t="shared" si="6"/>
        <v>1.66</v>
      </c>
    </row>
    <row r="21" spans="1:24">
      <c r="A21" s="126" t="s">
        <v>82</v>
      </c>
      <c r="B21" s="166" t="str">
        <f t="shared" si="10"/>
        <v>HVIL01-PC-FLT1500-D12.7-LD1.66</v>
      </c>
      <c r="C21" s="111">
        <v>1</v>
      </c>
      <c r="D21" s="173">
        <f>IF(ISNUMBER(C21),C21-COUNTIF(Data!J$6:J$112,B21),"")</f>
        <v>0</v>
      </c>
      <c r="E21" s="106" t="s">
        <v>83</v>
      </c>
      <c r="F21" s="106" t="s">
        <v>91</v>
      </c>
      <c r="G21" s="106" t="s">
        <v>317</v>
      </c>
      <c r="H21" s="184" t="s">
        <v>70</v>
      </c>
      <c r="I21" s="106" t="s">
        <v>271</v>
      </c>
      <c r="J21" s="156">
        <v>12.7</v>
      </c>
      <c r="K21" s="111">
        <v>1.66</v>
      </c>
      <c r="L21" s="118"/>
      <c r="M21" s="171" t="s">
        <v>354</v>
      </c>
      <c r="N21" s="250" t="s">
        <v>282</v>
      </c>
      <c r="O21" s="132" t="s">
        <v>306</v>
      </c>
      <c r="S21" s="107" t="str">
        <f t="shared" si="7"/>
        <v>HVIL001</v>
      </c>
      <c r="T21" s="106" t="str">
        <f t="shared" si="8"/>
        <v>P</v>
      </c>
      <c r="U21" s="106" t="str">
        <f t="shared" si="9"/>
        <v>R</v>
      </c>
      <c r="V21" s="106" t="str">
        <f t="shared" si="4"/>
        <v>C</v>
      </c>
      <c r="W21" s="164">
        <f t="shared" si="5"/>
        <v>12.7</v>
      </c>
      <c r="X21" s="174">
        <f t="shared" si="6"/>
        <v>1.66</v>
      </c>
    </row>
    <row r="22" spans="1:24">
      <c r="A22" s="126" t="s">
        <v>82</v>
      </c>
      <c r="B22" s="166" t="str">
        <f t="shared" si="10"/>
        <v>HVIL01-PC-FLDUR-D12.7-LD1.66</v>
      </c>
      <c r="C22" s="111">
        <v>1</v>
      </c>
      <c r="D22" s="173">
        <f>IF(ISNUMBER(C22),C22-COUNTIF(Data!J$6:J$112,B22),"")</f>
        <v>0</v>
      </c>
      <c r="E22" s="106" t="s">
        <v>83</v>
      </c>
      <c r="F22" s="106" t="s">
        <v>91</v>
      </c>
      <c r="G22" s="106" t="s">
        <v>318</v>
      </c>
      <c r="H22" s="184" t="s">
        <v>70</v>
      </c>
      <c r="I22" s="106" t="s">
        <v>271</v>
      </c>
      <c r="J22" s="156">
        <v>12.7</v>
      </c>
      <c r="K22" s="111">
        <v>1.66</v>
      </c>
      <c r="L22" s="118"/>
      <c r="M22" s="171" t="s">
        <v>354</v>
      </c>
      <c r="N22" s="250" t="s">
        <v>282</v>
      </c>
      <c r="O22" s="132" t="s">
        <v>306</v>
      </c>
      <c r="S22" s="107" t="str">
        <f t="shared" si="7"/>
        <v>HVIL001</v>
      </c>
      <c r="T22" s="106" t="str">
        <f t="shared" si="8"/>
        <v>P</v>
      </c>
      <c r="U22" s="106" t="str">
        <f t="shared" si="9"/>
        <v>R</v>
      </c>
      <c r="V22" s="106" t="str">
        <f t="shared" si="4"/>
        <v>C</v>
      </c>
      <c r="W22" s="164">
        <f t="shared" si="5"/>
        <v>12.7</v>
      </c>
      <c r="X22" s="174">
        <f t="shared" si="6"/>
        <v>1.66</v>
      </c>
    </row>
    <row r="23" spans="1:24">
      <c r="A23" s="126" t="s">
        <v>82</v>
      </c>
      <c r="B23" s="166" t="str">
        <f t="shared" si="10"/>
        <v>HVIL01-MS-AISI1010-D4-LD1</v>
      </c>
      <c r="C23" s="111">
        <v>25</v>
      </c>
      <c r="D23" s="173">
        <f>IF(ISNUMBER(C23),C23-COUNTIF(Data!J$6:J$112,B23),"")</f>
        <v>24</v>
      </c>
      <c r="E23" s="106" t="s">
        <v>66</v>
      </c>
      <c r="F23" s="106" t="s">
        <v>120</v>
      </c>
      <c r="G23" s="106" t="s">
        <v>320</v>
      </c>
      <c r="H23" s="184" t="s">
        <v>70</v>
      </c>
      <c r="I23" s="106" t="s">
        <v>69</v>
      </c>
      <c r="J23" s="156">
        <v>4</v>
      </c>
      <c r="K23" s="111">
        <v>1</v>
      </c>
      <c r="L23" s="118"/>
      <c r="M23" s="171"/>
      <c r="N23" s="250" t="s">
        <v>282</v>
      </c>
      <c r="O23" s="132"/>
      <c r="S23" s="107" t="str">
        <f t="shared" si="7"/>
        <v>HVIL001</v>
      </c>
      <c r="T23" s="106" t="str">
        <f t="shared" si="8"/>
        <v>M</v>
      </c>
      <c r="U23" s="106" t="str">
        <f t="shared" si="9"/>
        <v>S</v>
      </c>
      <c r="V23" s="106" t="str">
        <f t="shared" si="4"/>
        <v>S</v>
      </c>
      <c r="W23" s="164">
        <f t="shared" si="5"/>
        <v>4</v>
      </c>
      <c r="X23" s="174">
        <f t="shared" si="6"/>
        <v>1</v>
      </c>
    </row>
    <row r="24" spans="1:24">
      <c r="A24" s="126" t="s">
        <v>82</v>
      </c>
      <c r="B24" s="166" t="str">
        <f t="shared" ref="B24:B25" si="11">IF(A24&lt;&gt;"",N24&amp;"-"&amp;T24&amp;V24&amp;"-"&amp;G24&amp;"-"&amp;IF(ISNUMBER(W24),"D"&amp;ROUND(W24,1)&amp;"-","")&amp;IF(ISNUMBER(X24),"LD"&amp;ROUND(X24,2),""),"")</f>
        <v>HVIL01-MS-AISI1010-D6-LD1</v>
      </c>
      <c r="C24" s="111">
        <v>25</v>
      </c>
      <c r="D24" s="173">
        <f>IF(ISNUMBER(C24),C24-COUNTIF(Data!J$6:J$112,B24),"")</f>
        <v>25</v>
      </c>
      <c r="E24" s="106" t="s">
        <v>66</v>
      </c>
      <c r="F24" s="106" t="s">
        <v>120</v>
      </c>
      <c r="G24" s="106" t="s">
        <v>320</v>
      </c>
      <c r="H24" s="184" t="s">
        <v>70</v>
      </c>
      <c r="I24" s="106" t="s">
        <v>69</v>
      </c>
      <c r="J24" s="156">
        <v>6</v>
      </c>
      <c r="K24" s="111">
        <v>1</v>
      </c>
      <c r="L24" s="118"/>
      <c r="M24" s="171"/>
      <c r="N24" s="250" t="s">
        <v>282</v>
      </c>
      <c r="O24" s="132"/>
      <c r="S24" s="107" t="str">
        <f t="shared" si="7"/>
        <v>HVIL001</v>
      </c>
      <c r="T24" s="106" t="str">
        <f t="shared" si="8"/>
        <v>M</v>
      </c>
      <c r="U24" s="106" t="str">
        <f t="shared" si="9"/>
        <v>S</v>
      </c>
      <c r="V24" s="106" t="str">
        <f t="shared" si="4"/>
        <v>S</v>
      </c>
      <c r="W24" s="164">
        <f t="shared" si="5"/>
        <v>6</v>
      </c>
      <c r="X24" s="174">
        <f t="shared" si="6"/>
        <v>1</v>
      </c>
    </row>
    <row r="25" spans="1:24">
      <c r="A25" s="126" t="s">
        <v>82</v>
      </c>
      <c r="B25" s="166" t="str">
        <f t="shared" si="11"/>
        <v>HVIL01-MS-AISI1010-D10-LD1</v>
      </c>
      <c r="C25" s="111">
        <v>50</v>
      </c>
      <c r="D25" s="173">
        <f>IF(ISNUMBER(C25),C25-COUNTIF(Data!J$6:J$112,B25),"")</f>
        <v>48</v>
      </c>
      <c r="E25" s="106" t="s">
        <v>66</v>
      </c>
      <c r="F25" s="106" t="s">
        <v>120</v>
      </c>
      <c r="G25" s="106" t="s">
        <v>320</v>
      </c>
      <c r="H25" s="184" t="s">
        <v>70</v>
      </c>
      <c r="I25" s="106" t="s">
        <v>69</v>
      </c>
      <c r="J25" s="156">
        <v>10</v>
      </c>
      <c r="K25" s="111">
        <v>1</v>
      </c>
      <c r="L25" s="118"/>
      <c r="M25" s="171"/>
      <c r="N25" s="250" t="s">
        <v>282</v>
      </c>
      <c r="O25" s="132"/>
      <c r="S25" s="107" t="str">
        <f t="shared" si="7"/>
        <v>HVIL001</v>
      </c>
      <c r="T25" s="106" t="str">
        <f t="shared" si="8"/>
        <v>M</v>
      </c>
      <c r="U25" s="106" t="str">
        <f t="shared" si="9"/>
        <v>S</v>
      </c>
      <c r="V25" s="106" t="str">
        <f t="shared" si="4"/>
        <v>S</v>
      </c>
      <c r="W25" s="164">
        <f t="shared" si="5"/>
        <v>10</v>
      </c>
      <c r="X25" s="174">
        <f t="shared" si="6"/>
        <v>1</v>
      </c>
    </row>
    <row r="26" spans="1:24">
      <c r="A26" s="126" t="s">
        <v>269</v>
      </c>
      <c r="B26" s="166" t="str">
        <f t="shared" si="10"/>
        <v>ERDC01-MS-TOOLS2-D10-LD1</v>
      </c>
      <c r="C26" s="111">
        <v>60</v>
      </c>
      <c r="D26" s="173">
        <f>IF(ISNUMBER(C26),C26-COUNTIF(Data!J$6:J$112,B26),"")</f>
        <v>46</v>
      </c>
      <c r="E26" s="106" t="s">
        <v>66</v>
      </c>
      <c r="F26" s="106" t="s">
        <v>98</v>
      </c>
      <c r="G26" s="106" t="s">
        <v>321</v>
      </c>
      <c r="H26" s="184">
        <v>100</v>
      </c>
      <c r="I26" s="106" t="s">
        <v>69</v>
      </c>
      <c r="J26" s="156">
        <v>10</v>
      </c>
      <c r="K26" s="111">
        <v>1</v>
      </c>
      <c r="L26" s="118">
        <v>4.0599999999999996</v>
      </c>
      <c r="M26" s="171">
        <v>2</v>
      </c>
      <c r="N26" s="250" t="s">
        <v>272</v>
      </c>
      <c r="O26" s="132" t="s">
        <v>312</v>
      </c>
      <c r="S26" s="107" t="str">
        <f t="shared" si="7"/>
        <v>ERDC001</v>
      </c>
      <c r="T26" s="106" t="str">
        <f t="shared" si="8"/>
        <v>M</v>
      </c>
      <c r="U26" s="106" t="str">
        <f t="shared" si="9"/>
        <v>S</v>
      </c>
      <c r="V26" s="106" t="str">
        <f t="shared" si="4"/>
        <v>S</v>
      </c>
      <c r="W26" s="164">
        <f t="shared" si="5"/>
        <v>10</v>
      </c>
      <c r="X26" s="174">
        <f t="shared" si="6"/>
        <v>1</v>
      </c>
    </row>
    <row r="27" spans="1:24">
      <c r="A27" s="126" t="s">
        <v>137</v>
      </c>
      <c r="B27" s="166" t="str">
        <f t="shared" si="10"/>
        <v>HVIL03-MS-AL2017-D4-LD1</v>
      </c>
      <c r="C27" s="111"/>
      <c r="D27" s="173" t="str">
        <f>IF(ISNUMBER(C27),C27-COUNTIF(Data!J$6:J$112,B27),"")</f>
        <v/>
      </c>
      <c r="E27" s="106" t="s">
        <v>66</v>
      </c>
      <c r="F27" s="106" t="s">
        <v>87</v>
      </c>
      <c r="G27" s="106" t="s">
        <v>323</v>
      </c>
      <c r="H27" s="184">
        <v>200</v>
      </c>
      <c r="I27" s="106" t="s">
        <v>69</v>
      </c>
      <c r="J27" s="156">
        <v>4</v>
      </c>
      <c r="K27" s="111">
        <v>1</v>
      </c>
      <c r="L27" s="118">
        <v>9.4E-2</v>
      </c>
      <c r="M27" s="171"/>
      <c r="N27" s="250" t="s">
        <v>284</v>
      </c>
      <c r="O27" s="132"/>
      <c r="S27" s="107" t="str">
        <f t="shared" si="7"/>
        <v>HVIL003</v>
      </c>
      <c r="T27" s="106" t="str">
        <f t="shared" si="8"/>
        <v>M</v>
      </c>
      <c r="U27" s="106" t="str">
        <f t="shared" si="9"/>
        <v>A</v>
      </c>
      <c r="V27" s="106" t="str">
        <f t="shared" si="4"/>
        <v>S</v>
      </c>
      <c r="W27" s="164">
        <f t="shared" si="5"/>
        <v>4</v>
      </c>
      <c r="X27" s="174">
        <f t="shared" si="6"/>
        <v>1</v>
      </c>
    </row>
    <row r="28" spans="1:24">
      <c r="A28" s="126" t="s">
        <v>147</v>
      </c>
      <c r="B28" s="166" t="str">
        <f t="shared" si="10"/>
        <v>HVIL04-PS-NYLON66-D4-LD1</v>
      </c>
      <c r="C28" s="111">
        <v>25</v>
      </c>
      <c r="D28" s="173">
        <f>IF(ISNUMBER(C28),C28-COUNTIF(Data!J$6:J$112,B28),"")</f>
        <v>20</v>
      </c>
      <c r="E28" s="106" t="s">
        <v>83</v>
      </c>
      <c r="F28" s="106" t="s">
        <v>148</v>
      </c>
      <c r="G28" s="106" t="s">
        <v>324</v>
      </c>
      <c r="H28" s="184" t="s">
        <v>70</v>
      </c>
      <c r="I28" s="106" t="s">
        <v>69</v>
      </c>
      <c r="J28" s="156">
        <v>4</v>
      </c>
      <c r="K28" s="111">
        <v>1</v>
      </c>
      <c r="L28" s="118">
        <v>3.2000000000000001E-2</v>
      </c>
      <c r="M28" s="171"/>
      <c r="N28" s="250" t="s">
        <v>355</v>
      </c>
      <c r="O28" s="132" t="s">
        <v>313</v>
      </c>
      <c r="S28" s="107" t="str">
        <f t="shared" si="7"/>
        <v>HVIL004</v>
      </c>
      <c r="T28" s="106" t="str">
        <f t="shared" si="8"/>
        <v>P</v>
      </c>
      <c r="U28" s="106" t="str">
        <f t="shared" si="9"/>
        <v>N</v>
      </c>
      <c r="V28" s="106" t="str">
        <f t="shared" si="4"/>
        <v>S</v>
      </c>
      <c r="W28" s="164">
        <f t="shared" si="5"/>
        <v>4</v>
      </c>
      <c r="X28" s="174">
        <f t="shared" si="6"/>
        <v>1</v>
      </c>
    </row>
    <row r="29" spans="1:24">
      <c r="A29" s="126"/>
      <c r="B29" s="166" t="str">
        <f t="shared" si="10"/>
        <v/>
      </c>
      <c r="C29" s="111"/>
      <c r="D29" s="173" t="str">
        <f>IF(ISNUMBER(C29),C29-COUNTIF(Data!J$6:J$112,B29),"")</f>
        <v/>
      </c>
      <c r="E29" s="106"/>
      <c r="F29" s="106"/>
      <c r="G29" s="106"/>
      <c r="H29" s="184"/>
      <c r="I29" s="106"/>
      <c r="J29" s="156" t="str">
        <f t="shared" ref="J29:J62" si="12">IF($I29="Plate","N/A"," ")</f>
        <v xml:space="preserve"> </v>
      </c>
      <c r="K29" s="111" t="str">
        <f t="shared" ref="K29:K62" si="13">IF($I29="Cylinder","N/A"," ")</f>
        <v xml:space="preserve"> </v>
      </c>
      <c r="L29" s="118"/>
      <c r="M29" s="171"/>
      <c r="N29" s="250"/>
      <c r="O29" s="132"/>
      <c r="S29" s="107" t="str">
        <f t="shared" si="7"/>
        <v/>
      </c>
      <c r="T29" s="106" t="str">
        <f t="shared" si="8"/>
        <v/>
      </c>
      <c r="U29" s="106" t="str">
        <f t="shared" si="9"/>
        <v/>
      </c>
      <c r="V29" s="106" t="str">
        <f t="shared" si="4"/>
        <v/>
      </c>
      <c r="W29" s="164" t="str">
        <f t="shared" si="5"/>
        <v/>
      </c>
      <c r="X29" s="174" t="str">
        <f t="shared" si="6"/>
        <v/>
      </c>
    </row>
    <row r="30" spans="1:24">
      <c r="A30" s="126"/>
      <c r="B30" s="166" t="str">
        <f t="shared" si="10"/>
        <v/>
      </c>
      <c r="C30" s="111"/>
      <c r="D30" s="173" t="str">
        <f>IF(ISNUMBER(C30),C30-COUNTIF(Data!J$6:J$112,B30),"")</f>
        <v/>
      </c>
      <c r="E30" s="106"/>
      <c r="F30" s="106"/>
      <c r="G30" s="106"/>
      <c r="H30" s="184"/>
      <c r="I30" s="106"/>
      <c r="J30" s="156" t="str">
        <f t="shared" si="12"/>
        <v xml:space="preserve"> </v>
      </c>
      <c r="K30" s="111" t="str">
        <f t="shared" si="13"/>
        <v xml:space="preserve"> </v>
      </c>
      <c r="L30" s="118"/>
      <c r="M30" s="171"/>
      <c r="N30" s="250"/>
      <c r="O30" s="132"/>
      <c r="S30" s="107" t="str">
        <f t="shared" si="7"/>
        <v/>
      </c>
      <c r="T30" s="106" t="str">
        <f t="shared" si="8"/>
        <v/>
      </c>
      <c r="U30" s="106" t="str">
        <f t="shared" si="9"/>
        <v/>
      </c>
      <c r="V30" s="106" t="str">
        <f t="shared" si="4"/>
        <v/>
      </c>
      <c r="W30" s="164" t="str">
        <f t="shared" si="5"/>
        <v/>
      </c>
      <c r="X30" s="174" t="str">
        <f t="shared" si="6"/>
        <v/>
      </c>
    </row>
    <row r="31" spans="1:24">
      <c r="A31" s="126"/>
      <c r="B31" s="166" t="str">
        <f t="shared" si="10"/>
        <v/>
      </c>
      <c r="C31" s="111"/>
      <c r="D31" s="173" t="str">
        <f>IF(ISNUMBER(C31),C31-COUNTIF(Data!J$6:J$112,B31),"")</f>
        <v/>
      </c>
      <c r="E31" s="106"/>
      <c r="F31" s="106"/>
      <c r="G31" s="106"/>
      <c r="H31" s="184"/>
      <c r="I31" s="106"/>
      <c r="J31" s="156" t="str">
        <f t="shared" si="12"/>
        <v xml:space="preserve"> </v>
      </c>
      <c r="K31" s="111" t="str">
        <f t="shared" si="13"/>
        <v xml:space="preserve"> </v>
      </c>
      <c r="L31" s="118"/>
      <c r="M31" s="171"/>
      <c r="N31" s="250"/>
      <c r="O31" s="132"/>
      <c r="S31" s="107" t="str">
        <f t="shared" si="7"/>
        <v/>
      </c>
      <c r="T31" s="106" t="str">
        <f t="shared" si="8"/>
        <v/>
      </c>
      <c r="U31" s="106" t="str">
        <f t="shared" si="9"/>
        <v/>
      </c>
      <c r="V31" s="106" t="str">
        <f t="shared" si="4"/>
        <v/>
      </c>
      <c r="W31" s="164" t="str">
        <f t="shared" si="5"/>
        <v/>
      </c>
      <c r="X31" s="174" t="str">
        <f t="shared" si="6"/>
        <v/>
      </c>
    </row>
    <row r="32" spans="1:24">
      <c r="A32" s="126"/>
      <c r="B32" s="166" t="str">
        <f t="shared" si="10"/>
        <v/>
      </c>
      <c r="C32" s="111"/>
      <c r="D32" s="173" t="str">
        <f>IF(ISNUMBER(C32),C32-COUNTIF(Data!J$6:J$112,B32),"")</f>
        <v/>
      </c>
      <c r="E32" s="106"/>
      <c r="F32" s="106"/>
      <c r="G32" s="106"/>
      <c r="H32" s="184"/>
      <c r="I32" s="106"/>
      <c r="J32" s="156" t="str">
        <f t="shared" si="12"/>
        <v xml:space="preserve"> </v>
      </c>
      <c r="K32" s="111" t="str">
        <f t="shared" si="13"/>
        <v xml:space="preserve"> </v>
      </c>
      <c r="L32" s="118"/>
      <c r="M32" s="171"/>
      <c r="N32" s="250"/>
      <c r="O32" s="132"/>
      <c r="S32" s="107" t="str">
        <f t="shared" si="7"/>
        <v/>
      </c>
      <c r="T32" s="106" t="str">
        <f t="shared" si="8"/>
        <v/>
      </c>
      <c r="U32" s="106" t="str">
        <f t="shared" si="9"/>
        <v/>
      </c>
      <c r="V32" s="106" t="str">
        <f t="shared" si="4"/>
        <v/>
      </c>
      <c r="W32" s="164" t="str">
        <f t="shared" si="5"/>
        <v/>
      </c>
      <c r="X32" s="174" t="str">
        <f t="shared" si="6"/>
        <v/>
      </c>
    </row>
    <row r="33" spans="1:24">
      <c r="A33" s="126"/>
      <c r="B33" s="166" t="str">
        <f t="shared" si="10"/>
        <v/>
      </c>
      <c r="C33" s="111"/>
      <c r="D33" s="173" t="str">
        <f>IF(ISNUMBER(C33),C33-COUNTIF(Data!J$6:J$112,B33),"")</f>
        <v/>
      </c>
      <c r="E33" s="106"/>
      <c r="F33" s="106"/>
      <c r="G33" s="106"/>
      <c r="H33" s="184"/>
      <c r="I33" s="106"/>
      <c r="J33" s="156" t="str">
        <f t="shared" si="12"/>
        <v xml:space="preserve"> </v>
      </c>
      <c r="K33" s="111" t="str">
        <f t="shared" si="13"/>
        <v xml:space="preserve"> </v>
      </c>
      <c r="L33" s="118"/>
      <c r="M33" s="171"/>
      <c r="N33" s="250"/>
      <c r="O33" s="132"/>
      <c r="S33" s="107" t="str">
        <f t="shared" si="7"/>
        <v/>
      </c>
      <c r="T33" s="106" t="str">
        <f t="shared" si="8"/>
        <v/>
      </c>
      <c r="U33" s="106" t="str">
        <f t="shared" si="9"/>
        <v/>
      </c>
      <c r="V33" s="106" t="str">
        <f t="shared" si="4"/>
        <v/>
      </c>
      <c r="W33" s="164" t="str">
        <f t="shared" si="5"/>
        <v/>
      </c>
      <c r="X33" s="174" t="str">
        <f t="shared" si="6"/>
        <v/>
      </c>
    </row>
    <row r="34" spans="1:24">
      <c r="A34" s="126"/>
      <c r="B34" s="166" t="str">
        <f t="shared" si="10"/>
        <v/>
      </c>
      <c r="C34" s="111"/>
      <c r="D34" s="173" t="str">
        <f>IF(ISNUMBER(C34),C34-COUNTIF(Data!J$6:J$112,B34),"")</f>
        <v/>
      </c>
      <c r="E34" s="106"/>
      <c r="F34" s="106"/>
      <c r="G34" s="106"/>
      <c r="H34" s="184"/>
      <c r="I34" s="106"/>
      <c r="J34" s="156" t="str">
        <f t="shared" si="12"/>
        <v xml:space="preserve"> </v>
      </c>
      <c r="K34" s="111" t="str">
        <f t="shared" si="13"/>
        <v xml:space="preserve"> </v>
      </c>
      <c r="L34" s="118"/>
      <c r="M34" s="171"/>
      <c r="N34" s="250"/>
      <c r="O34" s="132"/>
      <c r="S34" s="107" t="str">
        <f t="shared" si="7"/>
        <v/>
      </c>
      <c r="T34" s="106" t="str">
        <f t="shared" si="8"/>
        <v/>
      </c>
      <c r="U34" s="106" t="str">
        <f t="shared" si="9"/>
        <v/>
      </c>
      <c r="V34" s="106" t="str">
        <f t="shared" si="4"/>
        <v/>
      </c>
      <c r="W34" s="164" t="str">
        <f t="shared" si="5"/>
        <v/>
      </c>
      <c r="X34" s="174" t="str">
        <f t="shared" si="6"/>
        <v/>
      </c>
    </row>
    <row r="35" spans="1:24">
      <c r="A35" s="126"/>
      <c r="B35" s="166" t="str">
        <f t="shared" si="10"/>
        <v/>
      </c>
      <c r="C35" s="111"/>
      <c r="D35" s="173" t="str">
        <f>IF(ISNUMBER(C35),C35-COUNTIF(Data!J$6:J$112,B35),"")</f>
        <v/>
      </c>
      <c r="E35" s="106"/>
      <c r="F35" s="106"/>
      <c r="G35" s="106"/>
      <c r="H35" s="184"/>
      <c r="I35" s="106"/>
      <c r="J35" s="156" t="str">
        <f t="shared" si="12"/>
        <v xml:space="preserve"> </v>
      </c>
      <c r="K35" s="111" t="str">
        <f t="shared" si="13"/>
        <v xml:space="preserve"> </v>
      </c>
      <c r="L35" s="118"/>
      <c r="M35" s="171"/>
      <c r="N35" s="250"/>
      <c r="O35" s="132"/>
      <c r="S35" s="107" t="str">
        <f t="shared" si="7"/>
        <v/>
      </c>
      <c r="T35" s="106" t="str">
        <f t="shared" si="8"/>
        <v/>
      </c>
      <c r="U35" s="106" t="str">
        <f t="shared" si="9"/>
        <v/>
      </c>
      <c r="V35" s="106" t="str">
        <f t="shared" si="4"/>
        <v/>
      </c>
      <c r="W35" s="164" t="str">
        <f t="shared" si="5"/>
        <v/>
      </c>
      <c r="X35" s="174" t="str">
        <f t="shared" si="6"/>
        <v/>
      </c>
    </row>
    <row r="36" spans="1:24">
      <c r="A36" s="126"/>
      <c r="B36" s="166" t="str">
        <f t="shared" si="10"/>
        <v/>
      </c>
      <c r="C36" s="111"/>
      <c r="D36" s="173" t="str">
        <f>IF(ISNUMBER(C36),C36-COUNTIF(Data!J$6:J$112,B36),"")</f>
        <v/>
      </c>
      <c r="E36" s="106"/>
      <c r="F36" s="106"/>
      <c r="G36" s="106"/>
      <c r="H36" s="184"/>
      <c r="I36" s="106"/>
      <c r="J36" s="156" t="str">
        <f t="shared" si="12"/>
        <v xml:space="preserve"> </v>
      </c>
      <c r="K36" s="111" t="str">
        <f t="shared" si="13"/>
        <v xml:space="preserve"> </v>
      </c>
      <c r="L36" s="118"/>
      <c r="M36" s="171"/>
      <c r="N36" s="250"/>
      <c r="O36" s="132"/>
      <c r="S36" s="107" t="str">
        <f t="shared" si="7"/>
        <v/>
      </c>
      <c r="T36" s="106" t="str">
        <f t="shared" si="8"/>
        <v/>
      </c>
      <c r="U36" s="106" t="str">
        <f t="shared" si="9"/>
        <v/>
      </c>
      <c r="V36" s="106" t="str">
        <f t="shared" si="4"/>
        <v/>
      </c>
      <c r="W36" s="164" t="str">
        <f t="shared" si="5"/>
        <v/>
      </c>
      <c r="X36" s="174" t="str">
        <f t="shared" si="6"/>
        <v/>
      </c>
    </row>
    <row r="37" spans="1:24">
      <c r="A37" s="126"/>
      <c r="B37" s="166" t="str">
        <f t="shared" si="10"/>
        <v/>
      </c>
      <c r="C37" s="111"/>
      <c r="D37" s="173" t="str">
        <f>IF(ISNUMBER(C37),C37-COUNTIF(Data!J$6:J$112,B37),"")</f>
        <v/>
      </c>
      <c r="E37" s="106"/>
      <c r="F37" s="106"/>
      <c r="G37" s="106"/>
      <c r="H37" s="184"/>
      <c r="I37" s="106"/>
      <c r="J37" s="156" t="str">
        <f t="shared" si="12"/>
        <v xml:space="preserve"> </v>
      </c>
      <c r="K37" s="111" t="str">
        <f t="shared" si="13"/>
        <v xml:space="preserve"> </v>
      </c>
      <c r="L37" s="118"/>
      <c r="M37" s="171"/>
      <c r="N37" s="250"/>
      <c r="O37" s="132"/>
      <c r="S37" s="107" t="str">
        <f t="shared" si="7"/>
        <v/>
      </c>
      <c r="T37" s="106" t="str">
        <f t="shared" si="8"/>
        <v/>
      </c>
      <c r="U37" s="106" t="str">
        <f t="shared" si="9"/>
        <v/>
      </c>
      <c r="V37" s="106" t="str">
        <f t="shared" si="4"/>
        <v/>
      </c>
      <c r="W37" s="164" t="str">
        <f t="shared" si="5"/>
        <v/>
      </c>
      <c r="X37" s="174" t="str">
        <f t="shared" si="6"/>
        <v/>
      </c>
    </row>
    <row r="38" spans="1:24">
      <c r="A38" s="126"/>
      <c r="B38" s="166" t="str">
        <f t="shared" si="10"/>
        <v/>
      </c>
      <c r="C38" s="111"/>
      <c r="D38" s="173" t="str">
        <f>IF(ISNUMBER(C38),C38-COUNTIF(Data!J$6:J$112,B38),"")</f>
        <v/>
      </c>
      <c r="E38" s="106"/>
      <c r="F38" s="106"/>
      <c r="G38" s="106"/>
      <c r="H38" s="184"/>
      <c r="I38" s="106"/>
      <c r="J38" s="156" t="str">
        <f t="shared" si="12"/>
        <v xml:space="preserve"> </v>
      </c>
      <c r="K38" s="111" t="str">
        <f t="shared" si="13"/>
        <v xml:space="preserve"> </v>
      </c>
      <c r="L38" s="118"/>
      <c r="M38" s="171"/>
      <c r="N38" s="250"/>
      <c r="O38" s="132"/>
      <c r="S38" s="107" t="str">
        <f t="shared" si="7"/>
        <v/>
      </c>
      <c r="T38" s="106" t="str">
        <f t="shared" si="8"/>
        <v/>
      </c>
      <c r="U38" s="106" t="str">
        <f t="shared" si="9"/>
        <v/>
      </c>
      <c r="V38" s="106" t="str">
        <f t="shared" si="4"/>
        <v/>
      </c>
      <c r="W38" s="164" t="str">
        <f t="shared" si="5"/>
        <v/>
      </c>
      <c r="X38" s="174" t="str">
        <f t="shared" si="6"/>
        <v/>
      </c>
    </row>
    <row r="39" spans="1:24">
      <c r="A39" s="126"/>
      <c r="B39" s="166" t="str">
        <f t="shared" si="10"/>
        <v/>
      </c>
      <c r="C39" s="111"/>
      <c r="D39" s="173" t="str">
        <f>IF(ISNUMBER(C39),C39-COUNTIF(Data!J$6:J$112,B39),"")</f>
        <v/>
      </c>
      <c r="E39" s="106"/>
      <c r="F39" s="106"/>
      <c r="G39" s="106"/>
      <c r="H39" s="184"/>
      <c r="I39" s="106"/>
      <c r="J39" s="156" t="str">
        <f t="shared" si="12"/>
        <v xml:space="preserve"> </v>
      </c>
      <c r="K39" s="111" t="str">
        <f t="shared" si="13"/>
        <v xml:space="preserve"> </v>
      </c>
      <c r="L39" s="118"/>
      <c r="M39" s="171"/>
      <c r="N39" s="250"/>
      <c r="O39" s="132"/>
      <c r="S39" s="107" t="str">
        <f t="shared" si="7"/>
        <v/>
      </c>
      <c r="T39" s="106" t="str">
        <f t="shared" si="8"/>
        <v/>
      </c>
      <c r="U39" s="106" t="str">
        <f t="shared" si="9"/>
        <v/>
      </c>
      <c r="V39" s="106" t="str">
        <f t="shared" si="4"/>
        <v/>
      </c>
      <c r="W39" s="164" t="str">
        <f t="shared" si="5"/>
        <v/>
      </c>
      <c r="X39" s="174" t="str">
        <f t="shared" si="6"/>
        <v/>
      </c>
    </row>
    <row r="40" spans="1:24">
      <c r="A40" s="126"/>
      <c r="B40" s="166" t="str">
        <f t="shared" si="10"/>
        <v/>
      </c>
      <c r="C40" s="111"/>
      <c r="D40" s="173" t="str">
        <f>IF(ISNUMBER(C40),C40-COUNTIF(Data!J$6:J$112,B40),"")</f>
        <v/>
      </c>
      <c r="E40" s="106"/>
      <c r="F40" s="106"/>
      <c r="G40" s="106"/>
      <c r="H40" s="184"/>
      <c r="I40" s="106"/>
      <c r="J40" s="156" t="str">
        <f t="shared" si="12"/>
        <v xml:space="preserve"> </v>
      </c>
      <c r="K40" s="111" t="str">
        <f t="shared" si="13"/>
        <v xml:space="preserve"> </v>
      </c>
      <c r="L40" s="118"/>
      <c r="M40" s="171"/>
      <c r="N40" s="250"/>
      <c r="O40" s="132"/>
      <c r="S40" s="107" t="str">
        <f t="shared" si="7"/>
        <v/>
      </c>
      <c r="T40" s="106" t="str">
        <f t="shared" si="8"/>
        <v/>
      </c>
      <c r="U40" s="106" t="str">
        <f t="shared" si="9"/>
        <v/>
      </c>
      <c r="V40" s="106" t="str">
        <f t="shared" si="4"/>
        <v/>
      </c>
      <c r="W40" s="164" t="str">
        <f t="shared" si="5"/>
        <v/>
      </c>
      <c r="X40" s="174" t="str">
        <f t="shared" si="6"/>
        <v/>
      </c>
    </row>
    <row r="41" spans="1:24">
      <c r="A41" s="126"/>
      <c r="B41" s="166" t="str">
        <f t="shared" si="10"/>
        <v/>
      </c>
      <c r="C41" s="111"/>
      <c r="D41" s="173" t="str">
        <f>IF(ISNUMBER(C41),C41-COUNTIF(Data!J$6:J$112,B41),"")</f>
        <v/>
      </c>
      <c r="E41" s="106"/>
      <c r="F41" s="106"/>
      <c r="G41" s="106"/>
      <c r="H41" s="184"/>
      <c r="I41" s="106"/>
      <c r="J41" s="156" t="str">
        <f t="shared" si="12"/>
        <v xml:space="preserve"> </v>
      </c>
      <c r="K41" s="111" t="str">
        <f t="shared" si="13"/>
        <v xml:space="preserve"> </v>
      </c>
      <c r="L41" s="118"/>
      <c r="M41" s="171"/>
      <c r="N41" s="250"/>
      <c r="O41" s="132"/>
      <c r="S41" s="107" t="str">
        <f t="shared" si="7"/>
        <v/>
      </c>
      <c r="T41" s="106" t="str">
        <f t="shared" si="8"/>
        <v/>
      </c>
      <c r="U41" s="106" t="str">
        <f t="shared" si="9"/>
        <v/>
      </c>
      <c r="V41" s="106" t="str">
        <f t="shared" si="4"/>
        <v/>
      </c>
      <c r="W41" s="164" t="str">
        <f t="shared" si="5"/>
        <v/>
      </c>
      <c r="X41" s="174" t="str">
        <f t="shared" si="6"/>
        <v/>
      </c>
    </row>
    <row r="42" spans="1:24">
      <c r="A42" s="126"/>
      <c r="B42" s="166" t="str">
        <f t="shared" si="10"/>
        <v/>
      </c>
      <c r="C42" s="111"/>
      <c r="D42" s="173" t="str">
        <f>IF(ISNUMBER(C42),C42-COUNTIF(Data!J$6:J$112,B42),"")</f>
        <v/>
      </c>
      <c r="E42" s="106"/>
      <c r="F42" s="106"/>
      <c r="G42" s="106"/>
      <c r="H42" s="184"/>
      <c r="I42" s="106"/>
      <c r="J42" s="156" t="str">
        <f t="shared" si="12"/>
        <v xml:space="preserve"> </v>
      </c>
      <c r="K42" s="111" t="str">
        <f t="shared" si="13"/>
        <v xml:space="preserve"> </v>
      </c>
      <c r="L42" s="118"/>
      <c r="M42" s="171"/>
      <c r="N42" s="250"/>
      <c r="O42" s="132"/>
      <c r="S42" s="107" t="str">
        <f t="shared" si="7"/>
        <v/>
      </c>
      <c r="T42" s="106" t="str">
        <f t="shared" si="8"/>
        <v/>
      </c>
      <c r="U42" s="106" t="str">
        <f t="shared" si="9"/>
        <v/>
      </c>
      <c r="V42" s="106" t="str">
        <f t="shared" si="4"/>
        <v/>
      </c>
      <c r="W42" s="164" t="str">
        <f t="shared" si="5"/>
        <v/>
      </c>
      <c r="X42" s="174" t="str">
        <f t="shared" si="6"/>
        <v/>
      </c>
    </row>
    <row r="43" spans="1:24">
      <c r="A43" s="126"/>
      <c r="B43" s="166" t="str">
        <f t="shared" si="10"/>
        <v/>
      </c>
      <c r="C43" s="111"/>
      <c r="D43" s="173" t="str">
        <f>IF(ISNUMBER(C43),C43-COUNTIF(Data!J$6:J$112,B43),"")</f>
        <v/>
      </c>
      <c r="E43" s="106"/>
      <c r="F43" s="106"/>
      <c r="G43" s="106"/>
      <c r="H43" s="184"/>
      <c r="I43" s="106"/>
      <c r="J43" s="156" t="str">
        <f t="shared" si="12"/>
        <v xml:space="preserve"> </v>
      </c>
      <c r="K43" s="111" t="str">
        <f t="shared" si="13"/>
        <v xml:space="preserve"> </v>
      </c>
      <c r="L43" s="118"/>
      <c r="M43" s="171"/>
      <c r="N43" s="250"/>
      <c r="O43" s="132"/>
      <c r="S43" s="107" t="str">
        <f t="shared" si="7"/>
        <v/>
      </c>
      <c r="T43" s="106" t="str">
        <f t="shared" si="8"/>
        <v/>
      </c>
      <c r="U43" s="106" t="str">
        <f t="shared" si="9"/>
        <v/>
      </c>
      <c r="V43" s="106" t="str">
        <f t="shared" si="4"/>
        <v/>
      </c>
      <c r="W43" s="164" t="str">
        <f t="shared" si="5"/>
        <v/>
      </c>
      <c r="X43" s="174" t="str">
        <f t="shared" si="6"/>
        <v/>
      </c>
    </row>
    <row r="44" spans="1:24">
      <c r="A44" s="126"/>
      <c r="B44" s="166" t="str">
        <f t="shared" si="10"/>
        <v/>
      </c>
      <c r="C44" s="111"/>
      <c r="D44" s="173" t="str">
        <f>IF(ISNUMBER(C44),C44-COUNTIF(Data!J$6:J$112,B44),"")</f>
        <v/>
      </c>
      <c r="E44" s="106"/>
      <c r="F44" s="106"/>
      <c r="G44" s="106"/>
      <c r="H44" s="184"/>
      <c r="I44" s="106"/>
      <c r="J44" s="156" t="str">
        <f t="shared" si="12"/>
        <v xml:space="preserve"> </v>
      </c>
      <c r="K44" s="111" t="str">
        <f t="shared" si="13"/>
        <v xml:space="preserve"> </v>
      </c>
      <c r="L44" s="118"/>
      <c r="M44" s="171"/>
      <c r="N44" s="250"/>
      <c r="O44" s="132"/>
      <c r="S44" s="107" t="str">
        <f t="shared" si="7"/>
        <v/>
      </c>
      <c r="T44" s="106" t="str">
        <f t="shared" si="8"/>
        <v/>
      </c>
      <c r="U44" s="106" t="str">
        <f t="shared" si="9"/>
        <v/>
      </c>
      <c r="V44" s="106" t="str">
        <f t="shared" si="4"/>
        <v/>
      </c>
      <c r="W44" s="164" t="str">
        <f t="shared" si="5"/>
        <v/>
      </c>
      <c r="X44" s="174" t="str">
        <f t="shared" si="6"/>
        <v/>
      </c>
    </row>
    <row r="45" spans="1:24">
      <c r="A45" s="126"/>
      <c r="B45" s="166" t="str">
        <f t="shared" si="10"/>
        <v/>
      </c>
      <c r="C45" s="111"/>
      <c r="D45" s="173" t="str">
        <f>IF(ISNUMBER(C45),C45-COUNTIF(Data!J$6:J$112,B45),"")</f>
        <v/>
      </c>
      <c r="E45" s="106"/>
      <c r="F45" s="106"/>
      <c r="G45" s="106"/>
      <c r="H45" s="184"/>
      <c r="I45" s="106"/>
      <c r="J45" s="156" t="str">
        <f t="shared" si="12"/>
        <v xml:space="preserve"> </v>
      </c>
      <c r="K45" s="111" t="str">
        <f t="shared" si="13"/>
        <v xml:space="preserve"> </v>
      </c>
      <c r="L45" s="118"/>
      <c r="M45" s="171"/>
      <c r="N45" s="250"/>
      <c r="O45" s="132"/>
      <c r="S45" s="107" t="str">
        <f t="shared" si="7"/>
        <v/>
      </c>
      <c r="T45" s="106" t="str">
        <f t="shared" si="8"/>
        <v/>
      </c>
      <c r="U45" s="106" t="str">
        <f t="shared" si="9"/>
        <v/>
      </c>
      <c r="V45" s="106" t="str">
        <f t="shared" si="4"/>
        <v/>
      </c>
      <c r="W45" s="164" t="str">
        <f t="shared" si="5"/>
        <v/>
      </c>
      <c r="X45" s="174" t="str">
        <f t="shared" si="6"/>
        <v/>
      </c>
    </row>
    <row r="46" spans="1:24">
      <c r="A46" s="126"/>
      <c r="B46" s="166" t="str">
        <f t="shared" si="10"/>
        <v/>
      </c>
      <c r="C46" s="111"/>
      <c r="D46" s="173" t="str">
        <f>IF(ISNUMBER(C46),C46-COUNTIF(Data!J$6:J$112,B46),"")</f>
        <v/>
      </c>
      <c r="E46" s="106"/>
      <c r="F46" s="106"/>
      <c r="G46" s="106"/>
      <c r="H46" s="184"/>
      <c r="I46" s="106"/>
      <c r="J46" s="156" t="str">
        <f t="shared" si="12"/>
        <v xml:space="preserve"> </v>
      </c>
      <c r="K46" s="111" t="str">
        <f t="shared" si="13"/>
        <v xml:space="preserve"> </v>
      </c>
      <c r="L46" s="118"/>
      <c r="M46" s="171"/>
      <c r="N46" s="250"/>
      <c r="O46" s="132"/>
      <c r="S46" s="107" t="str">
        <f t="shared" si="7"/>
        <v/>
      </c>
      <c r="T46" s="106" t="str">
        <f t="shared" si="8"/>
        <v/>
      </c>
      <c r="U46" s="106" t="str">
        <f t="shared" si="9"/>
        <v/>
      </c>
      <c r="V46" s="106" t="str">
        <f t="shared" si="4"/>
        <v/>
      </c>
      <c r="W46" s="164" t="str">
        <f t="shared" si="5"/>
        <v/>
      </c>
      <c r="X46" s="174" t="str">
        <f t="shared" si="6"/>
        <v/>
      </c>
    </row>
    <row r="47" spans="1:24">
      <c r="A47" s="126"/>
      <c r="B47" s="166" t="str">
        <f t="shared" si="10"/>
        <v/>
      </c>
      <c r="C47" s="111"/>
      <c r="D47" s="173" t="str">
        <f>IF(ISNUMBER(C47),C47-COUNTIF(Data!J$6:J$112,B47),"")</f>
        <v/>
      </c>
      <c r="E47" s="106"/>
      <c r="F47" s="106"/>
      <c r="G47" s="106"/>
      <c r="H47" s="184"/>
      <c r="I47" s="106"/>
      <c r="J47" s="156" t="str">
        <f t="shared" si="12"/>
        <v xml:space="preserve"> </v>
      </c>
      <c r="K47" s="111" t="str">
        <f t="shared" si="13"/>
        <v xml:space="preserve"> </v>
      </c>
      <c r="L47" s="118"/>
      <c r="M47" s="171"/>
      <c r="N47" s="250"/>
      <c r="O47" s="132"/>
      <c r="S47" s="107" t="str">
        <f t="shared" si="7"/>
        <v/>
      </c>
      <c r="T47" s="106" t="str">
        <f t="shared" si="8"/>
        <v/>
      </c>
      <c r="U47" s="106" t="str">
        <f t="shared" si="9"/>
        <v/>
      </c>
      <c r="V47" s="106" t="str">
        <f t="shared" si="4"/>
        <v/>
      </c>
      <c r="W47" s="164" t="str">
        <f t="shared" si="5"/>
        <v/>
      </c>
      <c r="X47" s="174" t="str">
        <f t="shared" si="6"/>
        <v/>
      </c>
    </row>
    <row r="48" spans="1:24">
      <c r="A48" s="126"/>
      <c r="B48" s="166" t="str">
        <f t="shared" si="10"/>
        <v/>
      </c>
      <c r="C48" s="111"/>
      <c r="D48" s="173" t="str">
        <f>IF(ISNUMBER(C48),C48-COUNTIF(Data!J$6:J$112,B48),"")</f>
        <v/>
      </c>
      <c r="E48" s="106"/>
      <c r="F48" s="106"/>
      <c r="G48" s="106"/>
      <c r="H48" s="184"/>
      <c r="I48" s="106"/>
      <c r="J48" s="156" t="str">
        <f t="shared" si="12"/>
        <v xml:space="preserve"> </v>
      </c>
      <c r="K48" s="111" t="str">
        <f t="shared" si="13"/>
        <v xml:space="preserve"> </v>
      </c>
      <c r="L48" s="118"/>
      <c r="M48" s="171"/>
      <c r="N48" s="250"/>
      <c r="O48" s="132"/>
      <c r="S48" s="107" t="str">
        <f t="shared" si="7"/>
        <v/>
      </c>
      <c r="T48" s="106" t="str">
        <f t="shared" si="8"/>
        <v/>
      </c>
      <c r="U48" s="106" t="str">
        <f t="shared" si="9"/>
        <v/>
      </c>
      <c r="V48" s="106" t="str">
        <f t="shared" si="4"/>
        <v/>
      </c>
      <c r="W48" s="164" t="str">
        <f t="shared" si="5"/>
        <v/>
      </c>
      <c r="X48" s="174" t="str">
        <f t="shared" si="6"/>
        <v/>
      </c>
    </row>
    <row r="49" spans="1:24">
      <c r="A49" s="126"/>
      <c r="B49" s="166" t="str">
        <f t="shared" si="10"/>
        <v/>
      </c>
      <c r="C49" s="111"/>
      <c r="D49" s="173" t="str">
        <f>IF(ISNUMBER(C49),C49-COUNTIF(Data!J$6:J$112,B49),"")</f>
        <v/>
      </c>
      <c r="E49" s="106"/>
      <c r="F49" s="106"/>
      <c r="G49" s="106"/>
      <c r="H49" s="184"/>
      <c r="I49" s="106"/>
      <c r="J49" s="156" t="str">
        <f t="shared" si="12"/>
        <v xml:space="preserve"> </v>
      </c>
      <c r="K49" s="111" t="str">
        <f t="shared" si="13"/>
        <v xml:space="preserve"> </v>
      </c>
      <c r="L49" s="118"/>
      <c r="M49" s="171"/>
      <c r="N49" s="250"/>
      <c r="O49" s="132"/>
      <c r="S49" s="107" t="str">
        <f t="shared" si="7"/>
        <v/>
      </c>
      <c r="T49" s="106" t="str">
        <f t="shared" si="8"/>
        <v/>
      </c>
      <c r="U49" s="106" t="str">
        <f t="shared" si="9"/>
        <v/>
      </c>
      <c r="V49" s="106" t="str">
        <f t="shared" si="4"/>
        <v/>
      </c>
      <c r="W49" s="164" t="str">
        <f t="shared" si="5"/>
        <v/>
      </c>
      <c r="X49" s="174" t="str">
        <f t="shared" si="6"/>
        <v/>
      </c>
    </row>
    <row r="50" spans="1:24">
      <c r="A50" s="126"/>
      <c r="B50" s="166" t="str">
        <f t="shared" si="10"/>
        <v/>
      </c>
      <c r="C50" s="111"/>
      <c r="D50" s="173" t="str">
        <f>IF(ISNUMBER(C50),C50-COUNTIF(Data!J$6:J$112,B50),"")</f>
        <v/>
      </c>
      <c r="E50" s="106"/>
      <c r="F50" s="106"/>
      <c r="G50" s="106"/>
      <c r="H50" s="184"/>
      <c r="I50" s="106"/>
      <c r="J50" s="156" t="str">
        <f t="shared" si="12"/>
        <v xml:space="preserve"> </v>
      </c>
      <c r="K50" s="111" t="str">
        <f t="shared" si="13"/>
        <v xml:space="preserve"> </v>
      </c>
      <c r="L50" s="118"/>
      <c r="M50" s="171"/>
      <c r="N50" s="250"/>
      <c r="O50" s="132"/>
      <c r="S50" s="107" t="str">
        <f t="shared" si="7"/>
        <v/>
      </c>
      <c r="T50" s="106" t="str">
        <f t="shared" si="8"/>
        <v/>
      </c>
      <c r="U50" s="106" t="str">
        <f t="shared" si="9"/>
        <v/>
      </c>
      <c r="V50" s="106" t="str">
        <f t="shared" si="4"/>
        <v/>
      </c>
      <c r="W50" s="164" t="str">
        <f t="shared" si="5"/>
        <v/>
      </c>
      <c r="X50" s="174" t="str">
        <f t="shared" si="6"/>
        <v/>
      </c>
    </row>
    <row r="51" spans="1:24">
      <c r="A51" s="126"/>
      <c r="B51" s="166" t="str">
        <f t="shared" si="10"/>
        <v/>
      </c>
      <c r="C51" s="111"/>
      <c r="D51" s="173" t="str">
        <f>IF(ISNUMBER(C51),C51-COUNTIF(Data!J$6:J$112,B51),"")</f>
        <v/>
      </c>
      <c r="E51" s="106"/>
      <c r="F51" s="106"/>
      <c r="G51" s="106"/>
      <c r="H51" s="184"/>
      <c r="I51" s="106"/>
      <c r="J51" s="156" t="str">
        <f t="shared" si="12"/>
        <v xml:space="preserve"> </v>
      </c>
      <c r="K51" s="111" t="str">
        <f t="shared" si="13"/>
        <v xml:space="preserve"> </v>
      </c>
      <c r="L51" s="118"/>
      <c r="M51" s="171"/>
      <c r="N51" s="250"/>
      <c r="O51" s="132"/>
      <c r="S51" s="107" t="str">
        <f t="shared" si="7"/>
        <v/>
      </c>
      <c r="T51" s="106" t="str">
        <f t="shared" si="8"/>
        <v/>
      </c>
      <c r="U51" s="106" t="str">
        <f t="shared" si="9"/>
        <v/>
      </c>
      <c r="V51" s="106" t="str">
        <f t="shared" si="4"/>
        <v/>
      </c>
      <c r="W51" s="164" t="str">
        <f t="shared" si="5"/>
        <v/>
      </c>
      <c r="X51" s="174" t="str">
        <f t="shared" si="6"/>
        <v/>
      </c>
    </row>
    <row r="52" spans="1:24">
      <c r="A52" s="126"/>
      <c r="B52" s="166" t="str">
        <f t="shared" si="10"/>
        <v/>
      </c>
      <c r="C52" s="111"/>
      <c r="D52" s="173" t="str">
        <f>IF(ISNUMBER(C52),C52-COUNTIF(Data!J$6:J$112,B52),"")</f>
        <v/>
      </c>
      <c r="E52" s="106"/>
      <c r="F52" s="106"/>
      <c r="G52" s="106"/>
      <c r="H52" s="184"/>
      <c r="I52" s="106"/>
      <c r="J52" s="156" t="str">
        <f t="shared" si="12"/>
        <v xml:space="preserve"> </v>
      </c>
      <c r="K52" s="111" t="str">
        <f t="shared" si="13"/>
        <v xml:space="preserve"> </v>
      </c>
      <c r="L52" s="118"/>
      <c r="M52" s="171"/>
      <c r="N52" s="250"/>
      <c r="O52" s="132"/>
      <c r="S52" s="107" t="str">
        <f t="shared" si="7"/>
        <v/>
      </c>
      <c r="T52" s="106" t="str">
        <f t="shared" si="8"/>
        <v/>
      </c>
      <c r="U52" s="106" t="str">
        <f t="shared" si="9"/>
        <v/>
      </c>
      <c r="V52" s="106" t="str">
        <f t="shared" si="4"/>
        <v/>
      </c>
      <c r="W52" s="164" t="str">
        <f t="shared" si="5"/>
        <v/>
      </c>
      <c r="X52" s="174" t="str">
        <f t="shared" si="6"/>
        <v/>
      </c>
    </row>
    <row r="53" spans="1:24">
      <c r="A53" s="126"/>
      <c r="B53" s="166" t="str">
        <f t="shared" si="10"/>
        <v/>
      </c>
      <c r="C53" s="111"/>
      <c r="D53" s="173" t="str">
        <f>IF(ISNUMBER(C53),C53-COUNTIF(Data!J$6:J$112,B53),"")</f>
        <v/>
      </c>
      <c r="E53" s="106"/>
      <c r="F53" s="106"/>
      <c r="G53" s="106"/>
      <c r="H53" s="184"/>
      <c r="I53" s="106"/>
      <c r="J53" s="156" t="str">
        <f t="shared" si="12"/>
        <v xml:space="preserve"> </v>
      </c>
      <c r="K53" s="111" t="str">
        <f t="shared" si="13"/>
        <v xml:space="preserve"> </v>
      </c>
      <c r="L53" s="118"/>
      <c r="M53" s="171"/>
      <c r="N53" s="250"/>
      <c r="O53" s="132"/>
      <c r="S53" s="107" t="str">
        <f t="shared" si="7"/>
        <v/>
      </c>
      <c r="T53" s="106" t="str">
        <f t="shared" si="8"/>
        <v/>
      </c>
      <c r="U53" s="106" t="str">
        <f t="shared" si="9"/>
        <v/>
      </c>
      <c r="V53" s="106" t="str">
        <f t="shared" si="4"/>
        <v/>
      </c>
      <c r="W53" s="164" t="str">
        <f t="shared" si="5"/>
        <v/>
      </c>
      <c r="X53" s="174" t="str">
        <f t="shared" si="6"/>
        <v/>
      </c>
    </row>
    <row r="54" spans="1:24">
      <c r="A54" s="126"/>
      <c r="B54" s="166" t="str">
        <f t="shared" si="10"/>
        <v/>
      </c>
      <c r="C54" s="111"/>
      <c r="D54" s="173" t="str">
        <f>IF(ISNUMBER(C54),C54-COUNTIF(Data!J$6:J$112,B54),"")</f>
        <v/>
      </c>
      <c r="E54" s="106"/>
      <c r="F54" s="106"/>
      <c r="G54" s="106"/>
      <c r="H54" s="184"/>
      <c r="I54" s="106"/>
      <c r="J54" s="156" t="str">
        <f t="shared" si="12"/>
        <v xml:space="preserve"> </v>
      </c>
      <c r="K54" s="111" t="str">
        <f t="shared" si="13"/>
        <v xml:space="preserve"> </v>
      </c>
      <c r="L54" s="118"/>
      <c r="M54" s="171"/>
      <c r="N54" s="250"/>
      <c r="O54" s="132"/>
      <c r="S54" s="107" t="str">
        <f t="shared" si="7"/>
        <v/>
      </c>
      <c r="T54" s="106" t="str">
        <f t="shared" si="8"/>
        <v/>
      </c>
      <c r="U54" s="106" t="str">
        <f t="shared" si="9"/>
        <v/>
      </c>
      <c r="V54" s="106" t="str">
        <f t="shared" si="4"/>
        <v/>
      </c>
      <c r="W54" s="164" t="str">
        <f t="shared" si="5"/>
        <v/>
      </c>
      <c r="X54" s="174" t="str">
        <f t="shared" si="6"/>
        <v/>
      </c>
    </row>
    <row r="55" spans="1:24">
      <c r="A55" s="126"/>
      <c r="B55" s="166" t="str">
        <f t="shared" si="10"/>
        <v/>
      </c>
      <c r="C55" s="111"/>
      <c r="D55" s="173" t="str">
        <f>IF(ISNUMBER(C55),C55-COUNTIF(Data!J$6:J$112,B55),"")</f>
        <v/>
      </c>
      <c r="E55" s="106"/>
      <c r="F55" s="106"/>
      <c r="G55" s="106"/>
      <c r="H55" s="184"/>
      <c r="I55" s="106"/>
      <c r="J55" s="156" t="str">
        <f t="shared" si="12"/>
        <v xml:space="preserve"> </v>
      </c>
      <c r="K55" s="111" t="str">
        <f t="shared" si="13"/>
        <v xml:space="preserve"> </v>
      </c>
      <c r="L55" s="118"/>
      <c r="M55" s="171"/>
      <c r="N55" s="250"/>
      <c r="O55" s="132"/>
      <c r="S55" s="107" t="str">
        <f t="shared" si="7"/>
        <v/>
      </c>
      <c r="T55" s="106" t="str">
        <f t="shared" si="8"/>
        <v/>
      </c>
      <c r="U55" s="106" t="str">
        <f t="shared" si="9"/>
        <v/>
      </c>
      <c r="V55" s="106" t="str">
        <f t="shared" si="4"/>
        <v/>
      </c>
      <c r="W55" s="164" t="str">
        <f t="shared" si="5"/>
        <v/>
      </c>
      <c r="X55" s="174" t="str">
        <f t="shared" si="6"/>
        <v/>
      </c>
    </row>
    <row r="56" spans="1:24">
      <c r="A56" s="126"/>
      <c r="B56" s="166" t="str">
        <f t="shared" si="10"/>
        <v/>
      </c>
      <c r="C56" s="111"/>
      <c r="D56" s="173" t="str">
        <f>IF(ISNUMBER(C56),C56-COUNTIF(Data!J$6:J$112,B56),"")</f>
        <v/>
      </c>
      <c r="E56" s="106"/>
      <c r="F56" s="106"/>
      <c r="G56" s="106"/>
      <c r="H56" s="184"/>
      <c r="I56" s="106"/>
      <c r="J56" s="156" t="str">
        <f t="shared" si="12"/>
        <v xml:space="preserve"> </v>
      </c>
      <c r="K56" s="111" t="str">
        <f t="shared" si="13"/>
        <v xml:space="preserve"> </v>
      </c>
      <c r="L56" s="118"/>
      <c r="M56" s="171"/>
      <c r="N56" s="250"/>
      <c r="O56" s="132"/>
      <c r="S56" s="107" t="str">
        <f t="shared" si="7"/>
        <v/>
      </c>
      <c r="T56" s="106" t="str">
        <f t="shared" si="8"/>
        <v/>
      </c>
      <c r="U56" s="106" t="str">
        <f t="shared" si="9"/>
        <v/>
      </c>
      <c r="V56" s="106" t="str">
        <f t="shared" si="4"/>
        <v/>
      </c>
      <c r="W56" s="164" t="str">
        <f t="shared" si="5"/>
        <v/>
      </c>
      <c r="X56" s="174" t="str">
        <f t="shared" si="6"/>
        <v/>
      </c>
    </row>
    <row r="57" spans="1:24">
      <c r="A57" s="126"/>
      <c r="B57" s="166" t="str">
        <f t="shared" si="10"/>
        <v/>
      </c>
      <c r="C57" s="111"/>
      <c r="D57" s="173" t="str">
        <f>IF(ISNUMBER(C57),C57-COUNTIF(Data!J$6:J$112,B57),"")</f>
        <v/>
      </c>
      <c r="E57" s="106"/>
      <c r="F57" s="106"/>
      <c r="G57" s="106"/>
      <c r="H57" s="184"/>
      <c r="I57" s="106"/>
      <c r="J57" s="156" t="str">
        <f t="shared" si="12"/>
        <v xml:space="preserve"> </v>
      </c>
      <c r="K57" s="111" t="str">
        <f t="shared" si="13"/>
        <v xml:space="preserve"> </v>
      </c>
      <c r="L57" s="118"/>
      <c r="M57" s="171"/>
      <c r="N57" s="250"/>
      <c r="O57" s="132"/>
      <c r="S57" s="107" t="str">
        <f t="shared" si="7"/>
        <v/>
      </c>
      <c r="T57" s="106" t="str">
        <f t="shared" si="8"/>
        <v/>
      </c>
      <c r="U57" s="106" t="str">
        <f t="shared" si="9"/>
        <v/>
      </c>
      <c r="V57" s="106" t="str">
        <f t="shared" si="4"/>
        <v/>
      </c>
      <c r="W57" s="164" t="str">
        <f t="shared" si="5"/>
        <v/>
      </c>
      <c r="X57" s="174" t="str">
        <f t="shared" si="6"/>
        <v/>
      </c>
    </row>
    <row r="58" spans="1:24">
      <c r="A58" s="126"/>
      <c r="B58" s="166" t="str">
        <f t="shared" si="10"/>
        <v/>
      </c>
      <c r="C58" s="111"/>
      <c r="D58" s="173" t="str">
        <f>IF(ISNUMBER(C58),C58-COUNTIF(Data!J$6:J$112,B58),"")</f>
        <v/>
      </c>
      <c r="E58" s="106"/>
      <c r="F58" s="106"/>
      <c r="G58" s="106"/>
      <c r="H58" s="184"/>
      <c r="I58" s="106"/>
      <c r="J58" s="156" t="str">
        <f t="shared" si="12"/>
        <v xml:space="preserve"> </v>
      </c>
      <c r="K58" s="111" t="str">
        <f t="shared" si="13"/>
        <v xml:space="preserve"> </v>
      </c>
      <c r="L58" s="118"/>
      <c r="M58" s="171"/>
      <c r="N58" s="250"/>
      <c r="O58" s="132"/>
      <c r="S58" s="107" t="str">
        <f t="shared" si="7"/>
        <v/>
      </c>
      <c r="T58" s="106" t="str">
        <f t="shared" si="8"/>
        <v/>
      </c>
      <c r="U58" s="106" t="str">
        <f t="shared" si="9"/>
        <v/>
      </c>
      <c r="V58" s="106" t="str">
        <f t="shared" si="4"/>
        <v/>
      </c>
      <c r="W58" s="164" t="str">
        <f t="shared" si="5"/>
        <v/>
      </c>
      <c r="X58" s="174" t="str">
        <f t="shared" si="6"/>
        <v/>
      </c>
    </row>
    <row r="59" spans="1:24">
      <c r="A59" s="126"/>
      <c r="B59" s="166" t="str">
        <f t="shared" si="10"/>
        <v/>
      </c>
      <c r="C59" s="111"/>
      <c r="D59" s="173" t="str">
        <f>IF(ISNUMBER(C59),C59-COUNTIF(Data!J$6:J$112,B59),"")</f>
        <v/>
      </c>
      <c r="E59" s="106"/>
      <c r="F59" s="106"/>
      <c r="G59" s="106"/>
      <c r="H59" s="184"/>
      <c r="I59" s="106"/>
      <c r="J59" s="156" t="str">
        <f t="shared" si="12"/>
        <v xml:space="preserve"> </v>
      </c>
      <c r="K59" s="111" t="str">
        <f t="shared" si="13"/>
        <v xml:space="preserve"> </v>
      </c>
      <c r="L59" s="118"/>
      <c r="M59" s="171"/>
      <c r="N59" s="250"/>
      <c r="O59" s="132"/>
      <c r="S59" s="107" t="str">
        <f t="shared" si="7"/>
        <v/>
      </c>
      <c r="T59" s="106" t="str">
        <f t="shared" si="8"/>
        <v/>
      </c>
      <c r="U59" s="106" t="str">
        <f t="shared" si="9"/>
        <v/>
      </c>
      <c r="V59" s="106" t="str">
        <f t="shared" si="4"/>
        <v/>
      </c>
      <c r="W59" s="164" t="str">
        <f t="shared" si="5"/>
        <v/>
      </c>
      <c r="X59" s="174" t="str">
        <f t="shared" si="6"/>
        <v/>
      </c>
    </row>
    <row r="60" spans="1:24">
      <c r="A60" s="126"/>
      <c r="B60" s="166" t="str">
        <f t="shared" si="10"/>
        <v/>
      </c>
      <c r="C60" s="111"/>
      <c r="D60" s="173" t="str">
        <f>IF(ISNUMBER(C60),C60-COUNTIF(Data!J$6:J$112,B60),"")</f>
        <v/>
      </c>
      <c r="E60" s="106"/>
      <c r="F60" s="106"/>
      <c r="G60" s="106"/>
      <c r="H60" s="184"/>
      <c r="I60" s="106"/>
      <c r="J60" s="156" t="str">
        <f t="shared" si="12"/>
        <v xml:space="preserve"> </v>
      </c>
      <c r="K60" s="111" t="str">
        <f t="shared" si="13"/>
        <v xml:space="preserve"> </v>
      </c>
      <c r="L60" s="118"/>
      <c r="M60" s="171"/>
      <c r="N60" s="250"/>
      <c r="O60" s="132"/>
      <c r="S60" s="107" t="str">
        <f t="shared" si="7"/>
        <v/>
      </c>
      <c r="T60" s="106" t="str">
        <f t="shared" si="8"/>
        <v/>
      </c>
      <c r="U60" s="106" t="str">
        <f t="shared" si="9"/>
        <v/>
      </c>
      <c r="V60" s="106" t="str">
        <f t="shared" si="4"/>
        <v/>
      </c>
      <c r="W60" s="164" t="str">
        <f t="shared" si="5"/>
        <v/>
      </c>
      <c r="X60" s="174" t="str">
        <f t="shared" si="6"/>
        <v/>
      </c>
    </row>
    <row r="61" spans="1:24">
      <c r="A61" s="126"/>
      <c r="B61" s="260" t="str">
        <f t="shared" si="10"/>
        <v/>
      </c>
      <c r="C61" s="111"/>
      <c r="D61" s="258" t="str">
        <f>IF(ISNUMBER(C61),C61-COUNTIF(Data!J$6:J$112,B61),"")</f>
        <v/>
      </c>
      <c r="E61" s="106"/>
      <c r="F61" s="106"/>
      <c r="G61" s="106"/>
      <c r="H61" s="184"/>
      <c r="I61" s="106"/>
      <c r="J61" s="156" t="str">
        <f t="shared" si="12"/>
        <v xml:space="preserve"> </v>
      </c>
      <c r="K61" s="111" t="str">
        <f t="shared" si="13"/>
        <v xml:space="preserve"> </v>
      </c>
      <c r="L61" s="118"/>
      <c r="M61" s="171"/>
      <c r="N61" s="250"/>
      <c r="O61" s="132"/>
      <c r="S61" s="107" t="str">
        <f t="shared" si="7"/>
        <v/>
      </c>
      <c r="T61" s="106" t="str">
        <f t="shared" si="8"/>
        <v/>
      </c>
      <c r="U61" s="106" t="str">
        <f t="shared" si="9"/>
        <v/>
      </c>
      <c r="V61" s="106" t="str">
        <f t="shared" si="4"/>
        <v/>
      </c>
      <c r="W61" s="164" t="str">
        <f t="shared" si="5"/>
        <v/>
      </c>
      <c r="X61" s="174" t="str">
        <f t="shared" si="6"/>
        <v/>
      </c>
    </row>
    <row r="62" spans="1:24">
      <c r="A62" s="131"/>
      <c r="B62" s="259" t="str">
        <f t="shared" si="10"/>
        <v/>
      </c>
      <c r="C62" s="112"/>
      <c r="D62" s="154" t="str">
        <f>IF(ISNUMBER(C62),C62-COUNTIF(Data!J$6:J$112,B62),"")</f>
        <v/>
      </c>
      <c r="E62" s="109"/>
      <c r="F62" s="109"/>
      <c r="G62" s="109"/>
      <c r="H62" s="185"/>
      <c r="I62" s="109"/>
      <c r="J62" s="162" t="str">
        <f t="shared" si="12"/>
        <v xml:space="preserve"> </v>
      </c>
      <c r="K62" s="112" t="str">
        <f t="shared" si="13"/>
        <v xml:space="preserve"> </v>
      </c>
      <c r="L62" s="119"/>
      <c r="M62" s="172"/>
      <c r="N62" s="251"/>
      <c r="O62" s="134"/>
      <c r="S62" s="108" t="str">
        <f t="shared" si="7"/>
        <v/>
      </c>
      <c r="T62" s="109" t="str">
        <f t="shared" si="8"/>
        <v/>
      </c>
      <c r="U62" s="109" t="str">
        <f t="shared" si="9"/>
        <v/>
      </c>
      <c r="V62" s="109" t="str">
        <f t="shared" si="4"/>
        <v/>
      </c>
      <c r="W62" s="165" t="str">
        <f t="shared" si="5"/>
        <v/>
      </c>
      <c r="X62" s="175" t="str">
        <f t="shared" si="6"/>
        <v/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AC24560-EDFE-49B7-A1A2-78715E6DE445}">
          <x14:formula1>
            <xm:f>Options!$B$2:$B$50</xm:f>
          </x14:formula1>
          <xm:sqref>I13:I62</xm:sqref>
        </x14:dataValidation>
        <x14:dataValidation type="list" allowBlank="1" showInputMessage="1" showErrorMessage="1" xr:uid="{A4C5BFEE-8187-483F-8DE6-D9D32073BAC3}">
          <x14:formula1>
            <xm:f>Options!$A$2:$A$50</xm:f>
          </x14:formula1>
          <xm:sqref>E13:E62</xm:sqref>
        </x14:dataValidation>
        <x14:dataValidation type="list" allowBlank="1" showInputMessage="1" showErrorMessage="1" xr:uid="{13381545-6383-457F-A8A0-7964DA1C4F76}">
          <x14:formula1>
            <xm:f>Options!$D$2:$D$50</xm:f>
          </x14:formula1>
          <xm:sqref>A13:A62</xm:sqref>
        </x14:dataValidation>
        <x14:dataValidation type="list" allowBlank="1" showInputMessage="1" showErrorMessage="1" xr:uid="{96F022D5-AE93-4B9D-B196-1F3C9F8C3F9C}">
          <x14:formula1>
            <xm:f>Options!$I$2:$I$50</xm:f>
          </x14:formula1>
          <xm:sqref>J13:J62</xm:sqref>
        </x14:dataValidation>
        <x14:dataValidation type="list" allowBlank="1" showInputMessage="1" showErrorMessage="1" xr:uid="{DF18FC59-F901-4A7F-AA2F-63FDFF98A7DE}">
          <x14:formula1>
            <xm:f>Options!$J$2:$J$50</xm:f>
          </x14:formula1>
          <xm:sqref>H13:H62</xm:sqref>
        </x14:dataValidation>
        <x14:dataValidation type="list" allowBlank="1" showInputMessage="1" showErrorMessage="1" xr:uid="{DD7F171B-3B47-47AE-A905-F8DF61C26ED0}">
          <x14:formula1>
            <xm:f>Options!$C$2:$C$50</xm:f>
          </x14:formula1>
          <xm:sqref>F13:F62</xm:sqref>
        </x14:dataValidation>
        <x14:dataValidation type="list" allowBlank="1" showInputMessage="1" showErrorMessage="1" xr:uid="{5B458608-158F-42C6-B215-2D4E51DD4360}">
          <x14:formula1>
            <xm:f>Options!$M$2:$M$50</xm:f>
          </x14:formula1>
          <xm:sqref>K13:K62</xm:sqref>
        </x14:dataValidation>
        <x14:dataValidation type="list" allowBlank="1" showInputMessage="1" showErrorMessage="1" xr:uid="{43E2B4E1-80DE-4EB0-9DD4-62E48DCAF855}">
          <x14:formula1>
            <xm:f>Options!$N$2:$N$50</xm:f>
          </x14:formula1>
          <xm:sqref>O12:O62</xm:sqref>
        </x14:dataValidation>
        <x14:dataValidation type="list" allowBlank="1" showInputMessage="1" showErrorMessage="1" xr:uid="{A0F92A7D-F29F-4D8B-9490-022794041ACF}">
          <x14:formula1>
            <xm:f>Options!$K$2:$K$51</xm:f>
          </x14:formula1>
          <xm:sqref>G13:G62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EDA2-2561-46F4-9832-A6B80DC2BD06}">
  <dimension ref="A1:AK121"/>
  <sheetViews>
    <sheetView zoomScale="115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43" sqref="Q43"/>
    </sheetView>
  </sheetViews>
  <sheetFormatPr defaultColWidth="9.140625" defaultRowHeight="12.75"/>
  <cols>
    <col min="1" max="1" width="34.85546875" style="334" customWidth="1"/>
    <col min="2" max="2" width="15.140625" style="498" customWidth="1"/>
    <col min="3" max="3" width="15.140625" style="530" customWidth="1"/>
    <col min="4" max="6" width="9.140625" style="332"/>
    <col min="7" max="7" width="10.28515625" style="335" customWidth="1"/>
    <col min="8" max="8" width="9.140625" style="333"/>
    <col min="9" max="15" width="9.140625" style="332"/>
    <col min="16" max="17" width="11.140625" style="332" customWidth="1"/>
    <col min="18" max="19" width="9.140625" style="332"/>
    <col min="20" max="20" width="14.7109375" style="332" customWidth="1"/>
    <col min="21" max="21" width="9.140625" style="332"/>
    <col min="22" max="22" width="9.140625" style="332" customWidth="1"/>
    <col min="23" max="23" width="14.85546875" style="332" customWidth="1"/>
    <col min="24" max="24" width="19.42578125" style="332" customWidth="1"/>
    <col min="25" max="28" width="9.140625" style="332"/>
    <col min="29" max="29" width="9.140625" style="547"/>
    <col min="30" max="33" width="9.140625" style="332"/>
    <col min="34" max="34" width="9.140625" style="547"/>
    <col min="35" max="35" width="9.140625" style="335"/>
    <col min="36" max="36" width="9.140625" style="333"/>
    <col min="37" max="37" width="23" style="15" customWidth="1"/>
    <col min="38" max="16384" width="9.140625" style="15"/>
  </cols>
  <sheetData>
    <row r="1" spans="1:37" s="300" customFormat="1" ht="36" customHeight="1">
      <c r="A1" s="299"/>
      <c r="B1" s="495"/>
      <c r="C1" s="527"/>
      <c r="D1" s="653" t="s">
        <v>356</v>
      </c>
      <c r="E1" s="654"/>
      <c r="F1" s="654"/>
      <c r="G1" s="655"/>
      <c r="H1" s="650" t="s">
        <v>357</v>
      </c>
      <c r="I1" s="656" t="s">
        <v>358</v>
      </c>
      <c r="J1" s="654"/>
      <c r="K1" s="654"/>
      <c r="L1" s="654"/>
      <c r="M1" s="657"/>
      <c r="N1" s="658" t="s">
        <v>359</v>
      </c>
      <c r="O1" s="659"/>
      <c r="P1" s="659"/>
      <c r="Q1" s="659"/>
      <c r="R1" s="659"/>
      <c r="S1" s="659"/>
      <c r="T1" s="659"/>
      <c r="U1" s="659"/>
      <c r="V1" s="659"/>
      <c r="W1" s="660"/>
      <c r="X1" s="661"/>
      <c r="Y1" s="662" t="s">
        <v>360</v>
      </c>
      <c r="Z1" s="660"/>
      <c r="AA1" s="660"/>
      <c r="AB1" s="660"/>
      <c r="AC1" s="660"/>
      <c r="AD1" s="660"/>
      <c r="AE1" s="660"/>
      <c r="AF1" s="660"/>
      <c r="AG1" s="660"/>
      <c r="AH1" s="660"/>
      <c r="AI1" s="663"/>
      <c r="AJ1" s="630"/>
      <c r="AK1" s="652" t="s">
        <v>361</v>
      </c>
    </row>
    <row r="2" spans="1:37" s="308" customFormat="1">
      <c r="A2" s="301" t="s">
        <v>249</v>
      </c>
      <c r="B2" s="496" t="s">
        <v>193</v>
      </c>
      <c r="C2" s="528"/>
      <c r="D2" s="302" t="s">
        <v>362</v>
      </c>
      <c r="E2" s="303" t="s">
        <v>363</v>
      </c>
      <c r="F2" s="303" t="s">
        <v>364</v>
      </c>
      <c r="G2" s="304" t="s">
        <v>365</v>
      </c>
      <c r="H2" s="651"/>
      <c r="I2" s="305" t="s">
        <v>366</v>
      </c>
      <c r="J2" s="303" t="s">
        <v>367</v>
      </c>
      <c r="K2" s="303" t="s">
        <v>368</v>
      </c>
      <c r="L2" s="303" t="s">
        <v>369</v>
      </c>
      <c r="M2" s="306" t="s">
        <v>370</v>
      </c>
      <c r="N2" s="302" t="s">
        <v>371</v>
      </c>
      <c r="O2" s="303" t="s">
        <v>372</v>
      </c>
      <c r="P2" s="303" t="s">
        <v>373</v>
      </c>
      <c r="Q2" s="303" t="s">
        <v>374</v>
      </c>
      <c r="R2" s="303" t="s">
        <v>375</v>
      </c>
      <c r="S2" s="303" t="s">
        <v>376</v>
      </c>
      <c r="T2" s="303" t="s">
        <v>377</v>
      </c>
      <c r="U2" s="303" t="s">
        <v>378</v>
      </c>
      <c r="V2" s="304" t="s">
        <v>379</v>
      </c>
      <c r="W2" s="425" t="s">
        <v>380</v>
      </c>
      <c r="X2" s="422" t="s">
        <v>381</v>
      </c>
      <c r="Y2" s="307" t="s">
        <v>382</v>
      </c>
      <c r="Z2" s="303" t="s">
        <v>383</v>
      </c>
      <c r="AA2" s="303" t="s">
        <v>384</v>
      </c>
      <c r="AB2" s="303" t="s">
        <v>385</v>
      </c>
      <c r="AC2" s="546" t="s">
        <v>386</v>
      </c>
      <c r="AD2" s="303" t="s">
        <v>387</v>
      </c>
      <c r="AE2" s="303" t="s">
        <v>388</v>
      </c>
      <c r="AF2" s="303" t="s">
        <v>389</v>
      </c>
      <c r="AG2" s="304" t="s">
        <v>390</v>
      </c>
      <c r="AH2" s="548" t="s">
        <v>391</v>
      </c>
      <c r="AI2" s="514" t="s">
        <v>392</v>
      </c>
      <c r="AJ2" s="545" t="s">
        <v>393</v>
      </c>
      <c r="AK2" s="652"/>
    </row>
    <row r="3" spans="1:37">
      <c r="A3" s="309" t="str">
        <f>Data!A6</f>
        <v>HVIL-CCRT-MAS06-0001</v>
      </c>
      <c r="B3" s="497" t="str">
        <f>Data!BC6</f>
        <v>Y</v>
      </c>
      <c r="C3" s="529">
        <f>Data!S6</f>
        <v>4203.3</v>
      </c>
      <c r="D3" s="318" t="s">
        <v>68</v>
      </c>
      <c r="E3" s="319" t="s">
        <v>68</v>
      </c>
      <c r="F3" s="319" t="s">
        <v>68</v>
      </c>
      <c r="G3" s="320" t="s">
        <v>68</v>
      </c>
      <c r="H3" s="313" t="s">
        <v>68</v>
      </c>
      <c r="I3" s="321" t="s">
        <v>68</v>
      </c>
      <c r="J3" s="319" t="s">
        <v>68</v>
      </c>
      <c r="K3" s="319" t="s">
        <v>68</v>
      </c>
      <c r="L3" s="319" t="s">
        <v>68</v>
      </c>
      <c r="M3" s="315" t="s">
        <v>68</v>
      </c>
      <c r="N3" s="332" t="s">
        <v>68</v>
      </c>
      <c r="O3" s="319" t="s">
        <v>68</v>
      </c>
      <c r="P3" s="319" t="s">
        <v>68</v>
      </c>
      <c r="Q3" s="512" t="s">
        <v>68</v>
      </c>
      <c r="R3" s="319" t="s">
        <v>68</v>
      </c>
      <c r="S3" s="319" t="s">
        <v>68</v>
      </c>
      <c r="T3" s="319" t="s">
        <v>68</v>
      </c>
      <c r="U3" s="319" t="s">
        <v>68</v>
      </c>
      <c r="V3" s="319" t="s">
        <v>68</v>
      </c>
      <c r="W3" s="319" t="s">
        <v>68</v>
      </c>
      <c r="X3" s="319" t="s">
        <v>68</v>
      </c>
      <c r="Y3" s="322" t="s">
        <v>68</v>
      </c>
      <c r="Z3" s="319" t="s">
        <v>68</v>
      </c>
      <c r="AA3" s="319" t="s">
        <v>68</v>
      </c>
      <c r="AB3" s="319" t="s">
        <v>68</v>
      </c>
      <c r="AC3" s="512" t="s">
        <v>68</v>
      </c>
      <c r="AD3" s="319" t="s">
        <v>68</v>
      </c>
      <c r="AE3" s="319" t="s">
        <v>68</v>
      </c>
      <c r="AF3" s="319" t="s">
        <v>68</v>
      </c>
      <c r="AG3" s="319" t="s">
        <v>68</v>
      </c>
      <c r="AH3" s="512" t="s">
        <v>68</v>
      </c>
      <c r="AI3" s="319" t="s">
        <v>68</v>
      </c>
    </row>
    <row r="4" spans="1:37">
      <c r="A4" s="317" t="str">
        <f>Data!A7</f>
        <v>HVIL-CSCRT-MAS06-0002</v>
      </c>
      <c r="B4" s="497" t="str">
        <f>Data!BC7</f>
        <v>Y</v>
      </c>
      <c r="C4" s="529">
        <f>Data!S7</f>
        <v>6756.7567567567576</v>
      </c>
      <c r="D4" s="318" t="s">
        <v>68</v>
      </c>
      <c r="E4" s="319" t="s">
        <v>68</v>
      </c>
      <c r="F4" s="319" t="s">
        <v>68</v>
      </c>
      <c r="G4" s="320" t="s">
        <v>68</v>
      </c>
      <c r="H4" s="313" t="s">
        <v>68</v>
      </c>
      <c r="I4" s="321" t="s">
        <v>68</v>
      </c>
      <c r="J4" s="319" t="s">
        <v>68</v>
      </c>
      <c r="K4" s="319" t="s">
        <v>68</v>
      </c>
      <c r="L4" s="319" t="s">
        <v>68</v>
      </c>
      <c r="M4" s="315" t="s">
        <v>68</v>
      </c>
      <c r="N4" s="332" t="s">
        <v>68</v>
      </c>
      <c r="O4" s="319" t="s">
        <v>68</v>
      </c>
      <c r="P4" s="319" t="s">
        <v>68</v>
      </c>
      <c r="Q4" s="512" t="s">
        <v>68</v>
      </c>
      <c r="R4" s="319" t="s">
        <v>68</v>
      </c>
      <c r="S4" s="319" t="s">
        <v>68</v>
      </c>
      <c r="T4" s="319" t="s">
        <v>68</v>
      </c>
      <c r="U4" s="319" t="s">
        <v>68</v>
      </c>
      <c r="V4" s="319" t="s">
        <v>68</v>
      </c>
      <c r="W4" s="319" t="s">
        <v>68</v>
      </c>
      <c r="X4" s="319" t="s">
        <v>68</v>
      </c>
      <c r="Y4" s="322" t="s">
        <v>68</v>
      </c>
      <c r="Z4" s="319" t="s">
        <v>68</v>
      </c>
      <c r="AA4" s="319" t="s">
        <v>68</v>
      </c>
      <c r="AB4" s="319" t="s">
        <v>68</v>
      </c>
      <c r="AC4" s="512" t="s">
        <v>68</v>
      </c>
      <c r="AD4" s="319" t="s">
        <v>68</v>
      </c>
      <c r="AE4" s="319" t="s">
        <v>68</v>
      </c>
      <c r="AF4" s="319" t="s">
        <v>68</v>
      </c>
      <c r="AG4" s="319" t="s">
        <v>68</v>
      </c>
      <c r="AH4" s="512" t="s">
        <v>68</v>
      </c>
      <c r="AI4" s="319" t="s">
        <v>68</v>
      </c>
    </row>
    <row r="5" spans="1:37">
      <c r="A5" s="317" t="str">
        <f>Data!A8</f>
        <v>HVIL-CSCRT-MAS06-0003</v>
      </c>
      <c r="B5" s="497" t="str">
        <f>Data!BC8</f>
        <v>Y</v>
      </c>
      <c r="C5" s="529">
        <f>Data!S8</f>
        <v>6900</v>
      </c>
      <c r="D5" s="318" t="s">
        <v>68</v>
      </c>
      <c r="E5" s="319" t="s">
        <v>68</v>
      </c>
      <c r="F5" s="319" t="s">
        <v>68</v>
      </c>
      <c r="G5" s="320" t="s">
        <v>68</v>
      </c>
      <c r="H5" s="313" t="s">
        <v>68</v>
      </c>
      <c r="I5" s="321" t="s">
        <v>68</v>
      </c>
      <c r="J5" s="319" t="s">
        <v>68</v>
      </c>
      <c r="K5" s="319" t="s">
        <v>68</v>
      </c>
      <c r="L5" s="319" t="s">
        <v>68</v>
      </c>
      <c r="M5" s="315" t="s">
        <v>68</v>
      </c>
      <c r="N5" s="332" t="s">
        <v>68</v>
      </c>
      <c r="O5" s="319" t="s">
        <v>68</v>
      </c>
      <c r="P5" s="319" t="s">
        <v>68</v>
      </c>
      <c r="Q5" s="512" t="s">
        <v>68</v>
      </c>
      <c r="R5" s="319" t="s">
        <v>68</v>
      </c>
      <c r="S5" s="319" t="s">
        <v>68</v>
      </c>
      <c r="T5" s="319" t="s">
        <v>68</v>
      </c>
      <c r="U5" s="319" t="s">
        <v>68</v>
      </c>
      <c r="V5" s="319" t="s">
        <v>68</v>
      </c>
      <c r="W5" s="319" t="s">
        <v>68</v>
      </c>
      <c r="X5" s="319" t="s">
        <v>68</v>
      </c>
      <c r="Y5" s="322" t="s">
        <v>68</v>
      </c>
      <c r="Z5" s="319" t="s">
        <v>68</v>
      </c>
      <c r="AA5" s="319" t="s">
        <v>68</v>
      </c>
      <c r="AB5" s="319" t="s">
        <v>68</v>
      </c>
      <c r="AC5" s="512" t="s">
        <v>68</v>
      </c>
      <c r="AD5" s="319" t="s">
        <v>68</v>
      </c>
      <c r="AE5" s="319" t="s">
        <v>68</v>
      </c>
      <c r="AF5" s="319" t="s">
        <v>68</v>
      </c>
      <c r="AG5" s="319" t="s">
        <v>68</v>
      </c>
      <c r="AH5" s="512" t="s">
        <v>68</v>
      </c>
      <c r="AI5" s="319" t="s">
        <v>68</v>
      </c>
    </row>
    <row r="6" spans="1:37">
      <c r="A6" s="317" t="str">
        <f>Data!A9</f>
        <v>HVIL-CSCRT-MAS06-0004</v>
      </c>
      <c r="B6" s="497" t="str">
        <f>Data!BC9</f>
        <v>Y</v>
      </c>
      <c r="C6" s="529">
        <f>Data!S9</f>
        <v>4010.6951871657757</v>
      </c>
      <c r="D6" s="318" t="s">
        <v>68</v>
      </c>
      <c r="E6" s="319" t="s">
        <v>68</v>
      </c>
      <c r="F6" s="319" t="s">
        <v>68</v>
      </c>
      <c r="G6" s="320" t="s">
        <v>68</v>
      </c>
      <c r="H6" s="313" t="s">
        <v>68</v>
      </c>
      <c r="I6" s="321" t="s">
        <v>68</v>
      </c>
      <c r="J6" s="319" t="s">
        <v>68</v>
      </c>
      <c r="K6" s="319" t="s">
        <v>68</v>
      </c>
      <c r="L6" s="319" t="s">
        <v>68</v>
      </c>
      <c r="M6" s="315" t="s">
        <v>68</v>
      </c>
      <c r="N6" s="332" t="s">
        <v>68</v>
      </c>
      <c r="O6" s="319" t="s">
        <v>68</v>
      </c>
      <c r="P6" s="319" t="s">
        <v>68</v>
      </c>
      <c r="Q6" s="512" t="s">
        <v>68</v>
      </c>
      <c r="R6" s="319" t="s">
        <v>68</v>
      </c>
      <c r="S6" s="319" t="s">
        <v>68</v>
      </c>
      <c r="T6" s="319" t="s">
        <v>68</v>
      </c>
      <c r="U6" s="319" t="s">
        <v>68</v>
      </c>
      <c r="V6" s="319" t="s">
        <v>68</v>
      </c>
      <c r="W6" s="319" t="s">
        <v>68</v>
      </c>
      <c r="X6" s="319" t="s">
        <v>68</v>
      </c>
      <c r="Y6" s="322" t="s">
        <v>68</v>
      </c>
      <c r="Z6" s="319" t="s">
        <v>68</v>
      </c>
      <c r="AA6" s="319" t="s">
        <v>68</v>
      </c>
      <c r="AB6" s="319" t="s">
        <v>68</v>
      </c>
      <c r="AC6" s="512" t="s">
        <v>68</v>
      </c>
      <c r="AD6" s="319" t="s">
        <v>68</v>
      </c>
      <c r="AE6" s="319" t="s">
        <v>68</v>
      </c>
      <c r="AF6" s="319" t="s">
        <v>68</v>
      </c>
      <c r="AG6" s="319" t="s">
        <v>68</v>
      </c>
      <c r="AH6" s="512" t="s">
        <v>68</v>
      </c>
      <c r="AI6" s="319" t="s">
        <v>68</v>
      </c>
    </row>
    <row r="7" spans="1:37">
      <c r="A7" s="317" t="str">
        <f>Data!A10</f>
        <v>HVIL001-AL-RT-PC-C12.7-0005</v>
      </c>
      <c r="B7" s="497" t="str">
        <f>Data!BC10</f>
        <v>Y</v>
      </c>
      <c r="C7" s="529">
        <f>Data!S10</f>
        <v>4515.4932896458358</v>
      </c>
      <c r="D7" s="318" t="s">
        <v>68</v>
      </c>
      <c r="E7" s="319" t="s">
        <v>68</v>
      </c>
      <c r="F7" s="319" t="s">
        <v>68</v>
      </c>
      <c r="G7" s="320" t="s">
        <v>68</v>
      </c>
      <c r="H7" s="313" t="s">
        <v>68</v>
      </c>
      <c r="I7" s="321" t="s">
        <v>68</v>
      </c>
      <c r="J7" s="319" t="s">
        <v>68</v>
      </c>
      <c r="K7" s="319" t="s">
        <v>68</v>
      </c>
      <c r="L7" s="319" t="s">
        <v>68</v>
      </c>
      <c r="M7" s="315" t="s">
        <v>68</v>
      </c>
      <c r="N7" s="332" t="s">
        <v>68</v>
      </c>
      <c r="O7" s="319" t="s">
        <v>68</v>
      </c>
      <c r="P7" s="319" t="s">
        <v>68</v>
      </c>
      <c r="Q7" s="512" t="s">
        <v>68</v>
      </c>
      <c r="R7" s="319" t="s">
        <v>68</v>
      </c>
      <c r="S7" s="319" t="s">
        <v>68</v>
      </c>
      <c r="T7" s="319" t="s">
        <v>68</v>
      </c>
      <c r="U7" s="319" t="s">
        <v>68</v>
      </c>
      <c r="V7" s="319" t="s">
        <v>68</v>
      </c>
      <c r="W7" s="319" t="s">
        <v>68</v>
      </c>
      <c r="X7" s="319" t="s">
        <v>68</v>
      </c>
      <c r="Y7" s="322" t="s">
        <v>68</v>
      </c>
      <c r="Z7" s="319" t="s">
        <v>68</v>
      </c>
      <c r="AA7" s="319" t="s">
        <v>68</v>
      </c>
      <c r="AB7" s="319" t="s">
        <v>68</v>
      </c>
      <c r="AC7" s="512" t="s">
        <v>68</v>
      </c>
      <c r="AD7" s="319" t="s">
        <v>68</v>
      </c>
      <c r="AE7" s="319" t="s">
        <v>68</v>
      </c>
      <c r="AF7" s="319" t="s">
        <v>68</v>
      </c>
      <c r="AG7" s="319" t="s">
        <v>68</v>
      </c>
      <c r="AH7" s="512" t="s">
        <v>68</v>
      </c>
      <c r="AI7" s="319" t="s">
        <v>68</v>
      </c>
    </row>
    <row r="8" spans="1:37">
      <c r="A8" s="317" t="str">
        <f>Data!A11</f>
        <v>HVIL001-AL-RT-PC-C12.7-0006</v>
      </c>
      <c r="B8" s="497" t="str">
        <f>Data!BC11</f>
        <v>Y</v>
      </c>
      <c r="C8" s="529">
        <f>Data!S11</f>
        <v>5222.0537355595861</v>
      </c>
      <c r="D8" s="318" t="s">
        <v>68</v>
      </c>
      <c r="E8" s="319" t="s">
        <v>68</v>
      </c>
      <c r="F8" s="319" t="s">
        <v>68</v>
      </c>
      <c r="G8" s="320" t="s">
        <v>68</v>
      </c>
      <c r="H8" s="313" t="s">
        <v>68</v>
      </c>
      <c r="I8" s="321" t="s">
        <v>68</v>
      </c>
      <c r="J8" s="319" t="s">
        <v>68</v>
      </c>
      <c r="K8" s="319" t="s">
        <v>68</v>
      </c>
      <c r="L8" s="319" t="s">
        <v>68</v>
      </c>
      <c r="M8" s="315" t="s">
        <v>68</v>
      </c>
      <c r="N8" s="332" t="s">
        <v>68</v>
      </c>
      <c r="O8" s="319" t="s">
        <v>68</v>
      </c>
      <c r="P8" s="319" t="s">
        <v>68</v>
      </c>
      <c r="Q8" s="512" t="s">
        <v>68</v>
      </c>
      <c r="R8" s="319" t="s">
        <v>68</v>
      </c>
      <c r="S8" s="319" t="s">
        <v>68</v>
      </c>
      <c r="T8" s="319" t="s">
        <v>68</v>
      </c>
      <c r="U8" s="319" t="s">
        <v>68</v>
      </c>
      <c r="V8" s="319" t="s">
        <v>68</v>
      </c>
      <c r="W8" s="319" t="s">
        <v>68</v>
      </c>
      <c r="X8" s="319" t="s">
        <v>68</v>
      </c>
      <c r="Y8" s="322" t="s">
        <v>68</v>
      </c>
      <c r="Z8" s="319" t="s">
        <v>68</v>
      </c>
      <c r="AA8" s="319" t="s">
        <v>68</v>
      </c>
      <c r="AB8" s="319" t="s">
        <v>68</v>
      </c>
      <c r="AC8" s="512" t="s">
        <v>68</v>
      </c>
      <c r="AD8" s="319" t="s">
        <v>68</v>
      </c>
      <c r="AE8" s="319" t="s">
        <v>68</v>
      </c>
      <c r="AF8" s="319" t="s">
        <v>68</v>
      </c>
      <c r="AG8" s="319" t="s">
        <v>68</v>
      </c>
      <c r="AH8" s="512" t="s">
        <v>68</v>
      </c>
      <c r="AI8" s="319" t="s">
        <v>68</v>
      </c>
    </row>
    <row r="9" spans="1:37">
      <c r="A9" s="317" t="str">
        <f>Data!A12</f>
        <v>HVIL001-AL-RT-PC-C12.7-0007</v>
      </c>
      <c r="B9" s="497" t="str">
        <f>Data!BC12</f>
        <v>N</v>
      </c>
      <c r="C9" s="529">
        <f>Data!S12</f>
        <v>4826.2138313883052</v>
      </c>
      <c r="D9" s="318" t="s">
        <v>68</v>
      </c>
      <c r="E9" s="319" t="s">
        <v>68</v>
      </c>
      <c r="F9" s="319" t="s">
        <v>68</v>
      </c>
      <c r="G9" s="320" t="s">
        <v>68</v>
      </c>
      <c r="H9" s="313" t="s">
        <v>68</v>
      </c>
      <c r="I9" s="321" t="s">
        <v>68</v>
      </c>
      <c r="J9" s="319" t="s">
        <v>68</v>
      </c>
      <c r="K9" s="319" t="s">
        <v>68</v>
      </c>
      <c r="L9" s="319" t="s">
        <v>68</v>
      </c>
      <c r="M9" s="315" t="s">
        <v>68</v>
      </c>
      <c r="N9" s="332" t="s">
        <v>68</v>
      </c>
      <c r="O9" s="319" t="s">
        <v>68</v>
      </c>
      <c r="P9" s="319" t="s">
        <v>68</v>
      </c>
      <c r="Q9" s="512" t="s">
        <v>68</v>
      </c>
      <c r="R9" s="319" t="s">
        <v>68</v>
      </c>
      <c r="S9" s="319" t="s">
        <v>68</v>
      </c>
      <c r="T9" s="319" t="s">
        <v>68</v>
      </c>
      <c r="U9" s="319" t="s">
        <v>68</v>
      </c>
      <c r="V9" s="319" t="s">
        <v>68</v>
      </c>
      <c r="W9" s="319" t="s">
        <v>68</v>
      </c>
      <c r="X9" s="319" t="s">
        <v>68</v>
      </c>
      <c r="Y9" s="322" t="s">
        <v>68</v>
      </c>
      <c r="Z9" s="319" t="s">
        <v>68</v>
      </c>
      <c r="AA9" s="319" t="s">
        <v>68</v>
      </c>
      <c r="AB9" s="319" t="s">
        <v>68</v>
      </c>
      <c r="AC9" s="512" t="s">
        <v>68</v>
      </c>
      <c r="AD9" s="319" t="s">
        <v>68</v>
      </c>
      <c r="AE9" s="319" t="s">
        <v>68</v>
      </c>
      <c r="AF9" s="319" t="s">
        <v>68</v>
      </c>
      <c r="AG9" s="319" t="s">
        <v>68</v>
      </c>
      <c r="AH9" s="512" t="s">
        <v>68</v>
      </c>
      <c r="AI9" s="319" t="s">
        <v>68</v>
      </c>
    </row>
    <row r="10" spans="1:37">
      <c r="A10" s="317" t="str">
        <f>Data!A13</f>
        <v>HVIL001-AL-RT-PC-C12.7-0008</v>
      </c>
      <c r="B10" s="497" t="str">
        <f>Data!BC13</f>
        <v>Y</v>
      </c>
      <c r="C10" s="529">
        <f>Data!S13</f>
        <v>6022.4547224325897</v>
      </c>
      <c r="D10" s="318" t="s">
        <v>68</v>
      </c>
      <c r="E10" s="319" t="s">
        <v>68</v>
      </c>
      <c r="F10" s="319" t="s">
        <v>68</v>
      </c>
      <c r="G10" s="320" t="s">
        <v>68</v>
      </c>
      <c r="H10" s="313" t="s">
        <v>68</v>
      </c>
      <c r="I10" s="321" t="s">
        <v>68</v>
      </c>
      <c r="J10" s="319" t="s">
        <v>68</v>
      </c>
      <c r="K10" s="319" t="s">
        <v>68</v>
      </c>
      <c r="L10" s="319" t="s">
        <v>68</v>
      </c>
      <c r="M10" s="315" t="s">
        <v>68</v>
      </c>
      <c r="N10" s="332" t="s">
        <v>68</v>
      </c>
      <c r="O10" s="319" t="s">
        <v>68</v>
      </c>
      <c r="P10" s="319" t="s">
        <v>68</v>
      </c>
      <c r="Q10" s="512" t="s">
        <v>68</v>
      </c>
      <c r="R10" s="319" t="s">
        <v>68</v>
      </c>
      <c r="S10" s="319" t="s">
        <v>68</v>
      </c>
      <c r="T10" s="319" t="s">
        <v>68</v>
      </c>
      <c r="U10" s="319" t="s">
        <v>68</v>
      </c>
      <c r="V10" s="319" t="s">
        <v>68</v>
      </c>
      <c r="W10" s="319" t="s">
        <v>68</v>
      </c>
      <c r="X10" s="319" t="s">
        <v>68</v>
      </c>
      <c r="Y10" s="322" t="s">
        <v>68</v>
      </c>
      <c r="Z10" s="319" t="s">
        <v>68</v>
      </c>
      <c r="AA10" s="319" t="s">
        <v>68</v>
      </c>
      <c r="AB10" s="319" t="s">
        <v>68</v>
      </c>
      <c r="AC10" s="512" t="s">
        <v>68</v>
      </c>
      <c r="AD10" s="319" t="s">
        <v>68</v>
      </c>
      <c r="AE10" s="319" t="s">
        <v>68</v>
      </c>
      <c r="AF10" s="319" t="s">
        <v>68</v>
      </c>
      <c r="AG10" s="319" t="s">
        <v>68</v>
      </c>
      <c r="AH10" s="512" t="s">
        <v>68</v>
      </c>
      <c r="AI10" s="319" t="s">
        <v>68</v>
      </c>
    </row>
    <row r="11" spans="1:37">
      <c r="A11" s="317" t="str">
        <f>Data!A14</f>
        <v>HVIL001-AL-RT-RN-C12.7-0009</v>
      </c>
      <c r="B11" s="497" t="str">
        <f>Data!BC14</f>
        <v>N</v>
      </c>
      <c r="C11" s="529">
        <f>Data!S14</f>
        <v>4361.532740885018</v>
      </c>
      <c r="D11" s="318" t="s">
        <v>68</v>
      </c>
      <c r="E11" s="319" t="s">
        <v>68</v>
      </c>
      <c r="F11" s="319" t="s">
        <v>68</v>
      </c>
      <c r="G11" s="320" t="s">
        <v>68</v>
      </c>
      <c r="H11" s="313" t="s">
        <v>68</v>
      </c>
      <c r="I11" s="321" t="s">
        <v>68</v>
      </c>
      <c r="J11" s="319" t="s">
        <v>68</v>
      </c>
      <c r="K11" s="319" t="s">
        <v>68</v>
      </c>
      <c r="L11" s="319" t="s">
        <v>68</v>
      </c>
      <c r="M11" s="315" t="s">
        <v>68</v>
      </c>
      <c r="N11" s="332" t="s">
        <v>68</v>
      </c>
      <c r="O11" s="319" t="s">
        <v>68</v>
      </c>
      <c r="P11" s="319" t="s">
        <v>68</v>
      </c>
      <c r="Q11" s="512" t="s">
        <v>68</v>
      </c>
      <c r="R11" s="319" t="s">
        <v>68</v>
      </c>
      <c r="S11" s="319" t="s">
        <v>68</v>
      </c>
      <c r="T11" s="319" t="s">
        <v>68</v>
      </c>
      <c r="U11" s="319" t="s">
        <v>68</v>
      </c>
      <c r="V11" s="319" t="s">
        <v>68</v>
      </c>
      <c r="W11" s="319" t="s">
        <v>68</v>
      </c>
      <c r="X11" s="319" t="s">
        <v>68</v>
      </c>
      <c r="Y11" s="322" t="s">
        <v>68</v>
      </c>
      <c r="Z11" s="319" t="s">
        <v>68</v>
      </c>
      <c r="AA11" s="319" t="s">
        <v>68</v>
      </c>
      <c r="AB11" s="319" t="s">
        <v>68</v>
      </c>
      <c r="AC11" s="512" t="s">
        <v>68</v>
      </c>
      <c r="AD11" s="319" t="s">
        <v>68</v>
      </c>
      <c r="AE11" s="319" t="s">
        <v>68</v>
      </c>
      <c r="AF11" s="319" t="s">
        <v>68</v>
      </c>
      <c r="AG11" s="319" t="s">
        <v>68</v>
      </c>
      <c r="AH11" s="512" t="s">
        <v>68</v>
      </c>
      <c r="AI11" s="319" t="s">
        <v>68</v>
      </c>
    </row>
    <row r="12" spans="1:37">
      <c r="A12" s="317" t="str">
        <f>Data!A15</f>
        <v>HVIL001-AL-RT-RN-C12.7-0010</v>
      </c>
      <c r="B12" s="501" t="str">
        <f>Data!BC15</f>
        <v>Y</v>
      </c>
      <c r="C12" s="530">
        <f>Data!S15</f>
        <v>5757.5396420998204</v>
      </c>
      <c r="D12" s="502" t="s">
        <v>68</v>
      </c>
      <c r="E12" s="329" t="s">
        <v>68</v>
      </c>
      <c r="F12" s="329" t="s">
        <v>68</v>
      </c>
      <c r="G12" s="503" t="s">
        <v>68</v>
      </c>
      <c r="H12" s="324" t="s">
        <v>68</v>
      </c>
      <c r="I12" s="328" t="s">
        <v>68</v>
      </c>
      <c r="J12" s="329" t="s">
        <v>68</v>
      </c>
      <c r="K12" s="329" t="s">
        <v>68</v>
      </c>
      <c r="L12" s="329" t="s">
        <v>68</v>
      </c>
      <c r="M12" s="522" t="s">
        <v>68</v>
      </c>
      <c r="N12" s="332" t="s">
        <v>68</v>
      </c>
      <c r="O12" s="329" t="s">
        <v>68</v>
      </c>
      <c r="P12" s="329" t="s">
        <v>68</v>
      </c>
      <c r="Q12" s="523" t="s">
        <v>68</v>
      </c>
      <c r="R12" s="329" t="s">
        <v>68</v>
      </c>
      <c r="S12" s="329" t="s">
        <v>68</v>
      </c>
      <c r="T12" s="329" t="s">
        <v>68</v>
      </c>
      <c r="U12" s="329" t="s">
        <v>68</v>
      </c>
      <c r="V12" s="329" t="s">
        <v>68</v>
      </c>
      <c r="W12" s="329" t="s">
        <v>68</v>
      </c>
      <c r="X12" s="329" t="s">
        <v>68</v>
      </c>
      <c r="Y12" s="508" t="s">
        <v>68</v>
      </c>
      <c r="Z12" s="329" t="s">
        <v>68</v>
      </c>
      <c r="AA12" s="329" t="s">
        <v>68</v>
      </c>
      <c r="AB12" s="329" t="s">
        <v>68</v>
      </c>
      <c r="AC12" s="523" t="s">
        <v>68</v>
      </c>
      <c r="AD12" s="329" t="s">
        <v>68</v>
      </c>
      <c r="AE12" s="329" t="s">
        <v>68</v>
      </c>
      <c r="AF12" s="329" t="s">
        <v>68</v>
      </c>
      <c r="AG12" s="329" t="s">
        <v>68</v>
      </c>
      <c r="AH12" s="523" t="s">
        <v>68</v>
      </c>
      <c r="AI12" s="329" t="s">
        <v>68</v>
      </c>
    </row>
    <row r="13" spans="1:37">
      <c r="A13" s="325" t="str">
        <f>Data!A16</f>
        <v>HVIL001-AL-RT-RN-C12.7-0011</v>
      </c>
      <c r="B13" s="509" t="str">
        <f>Data!BC16</f>
        <v>N</v>
      </c>
      <c r="C13" s="531">
        <f>Data!S16</f>
        <v>4731.7065600001215</v>
      </c>
      <c r="D13" s="516" t="s">
        <v>68</v>
      </c>
      <c r="E13" s="327" t="s">
        <v>68</v>
      </c>
      <c r="F13" s="327" t="s">
        <v>68</v>
      </c>
      <c r="G13" s="426" t="s">
        <v>68</v>
      </c>
      <c r="H13" s="517" t="s">
        <v>68</v>
      </c>
      <c r="I13" s="518" t="s">
        <v>68</v>
      </c>
      <c r="J13" s="327" t="s">
        <v>68</v>
      </c>
      <c r="K13" s="327" t="s">
        <v>68</v>
      </c>
      <c r="L13" s="327" t="s">
        <v>68</v>
      </c>
      <c r="M13" s="326" t="s">
        <v>68</v>
      </c>
      <c r="N13" s="519" t="s">
        <v>68</v>
      </c>
      <c r="O13" s="327" t="s">
        <v>68</v>
      </c>
      <c r="P13" s="327" t="s">
        <v>68</v>
      </c>
      <c r="Q13" s="520" t="s">
        <v>68</v>
      </c>
      <c r="R13" s="327" t="s">
        <v>68</v>
      </c>
      <c r="S13" s="327" t="s">
        <v>68</v>
      </c>
      <c r="T13" s="327" t="s">
        <v>68</v>
      </c>
      <c r="U13" s="327" t="s">
        <v>68</v>
      </c>
      <c r="V13" s="327" t="s">
        <v>68</v>
      </c>
      <c r="W13" s="327" t="s">
        <v>68</v>
      </c>
      <c r="X13" s="327" t="s">
        <v>68</v>
      </c>
      <c r="Y13" s="521" t="s">
        <v>68</v>
      </c>
      <c r="Z13" s="327" t="s">
        <v>68</v>
      </c>
      <c r="AA13" s="327" t="s">
        <v>68</v>
      </c>
      <c r="AB13" s="327" t="s">
        <v>68</v>
      </c>
      <c r="AC13" s="520" t="s">
        <v>68</v>
      </c>
      <c r="AD13" s="327" t="s">
        <v>68</v>
      </c>
      <c r="AE13" s="327" t="s">
        <v>68</v>
      </c>
      <c r="AF13" s="327" t="s">
        <v>68</v>
      </c>
      <c r="AG13" s="327" t="s">
        <v>68</v>
      </c>
      <c r="AH13" s="520" t="s">
        <v>68</v>
      </c>
      <c r="AI13" s="327" t="s">
        <v>68</v>
      </c>
    </row>
    <row r="14" spans="1:37">
      <c r="A14" s="309" t="str">
        <f>Data!A17</f>
        <v>HVIL001-HDPE-RT-SS-S06.0-0012</v>
      </c>
      <c r="B14" s="497" t="str">
        <f>Data!BC17</f>
        <v>N</v>
      </c>
      <c r="C14" s="529">
        <f>Data!S17</f>
        <v>6060.606060606061</v>
      </c>
      <c r="D14" s="310" t="s">
        <v>68</v>
      </c>
      <c r="E14" s="311" t="s">
        <v>68</v>
      </c>
      <c r="F14" s="311" t="s">
        <v>68</v>
      </c>
      <c r="G14" s="312" t="s">
        <v>68</v>
      </c>
      <c r="H14" s="313" t="s">
        <v>68</v>
      </c>
      <c r="I14" s="314" t="s">
        <v>68</v>
      </c>
      <c r="J14" s="311" t="s">
        <v>68</v>
      </c>
      <c r="K14" s="311" t="s">
        <v>68</v>
      </c>
      <c r="L14" s="311" t="s">
        <v>68</v>
      </c>
      <c r="M14" s="315" t="s">
        <v>68</v>
      </c>
      <c r="N14" s="332" t="s">
        <v>68</v>
      </c>
      <c r="O14" s="311" t="s">
        <v>68</v>
      </c>
      <c r="P14" s="311" t="s">
        <v>68</v>
      </c>
      <c r="Q14" s="524" t="s">
        <v>68</v>
      </c>
      <c r="R14" s="311" t="s">
        <v>68</v>
      </c>
      <c r="S14" s="311" t="s">
        <v>68</v>
      </c>
      <c r="T14" s="311" t="s">
        <v>68</v>
      </c>
      <c r="U14" s="311" t="s">
        <v>68</v>
      </c>
      <c r="V14" s="311" t="s">
        <v>68</v>
      </c>
      <c r="W14" s="311" t="s">
        <v>68</v>
      </c>
      <c r="X14" s="311" t="s">
        <v>68</v>
      </c>
      <c r="Y14" s="316" t="s">
        <v>68</v>
      </c>
      <c r="Z14" s="311" t="s">
        <v>68</v>
      </c>
      <c r="AA14" s="311" t="s">
        <v>68</v>
      </c>
      <c r="AB14" s="311" t="s">
        <v>68</v>
      </c>
      <c r="AC14" s="524" t="s">
        <v>68</v>
      </c>
      <c r="AD14" s="311" t="s">
        <v>68</v>
      </c>
      <c r="AE14" s="311" t="s">
        <v>68</v>
      </c>
      <c r="AF14" s="311" t="s">
        <v>68</v>
      </c>
      <c r="AG14" s="311" t="s">
        <v>68</v>
      </c>
      <c r="AH14" s="524" t="s">
        <v>68</v>
      </c>
      <c r="AI14" s="311" t="s">
        <v>68</v>
      </c>
    </row>
    <row r="15" spans="1:37">
      <c r="A15" s="317" t="str">
        <f>Data!A18</f>
        <v>HVIL001-HDPE-RT-SS-S06.0-0013</v>
      </c>
      <c r="B15" s="497" t="str">
        <f>Data!BC18</f>
        <v>N</v>
      </c>
      <c r="C15" s="529">
        <f>Data!S18</f>
        <v>4908.4218554943918</v>
      </c>
      <c r="D15" s="318" t="s">
        <v>68</v>
      </c>
      <c r="E15" s="319" t="s">
        <v>68</v>
      </c>
      <c r="F15" s="319" t="s">
        <v>68</v>
      </c>
      <c r="G15" s="320" t="s">
        <v>68</v>
      </c>
      <c r="H15" s="313" t="s">
        <v>68</v>
      </c>
      <c r="I15" s="321" t="s">
        <v>68</v>
      </c>
      <c r="J15" s="319" t="s">
        <v>68</v>
      </c>
      <c r="K15" s="319" t="s">
        <v>68</v>
      </c>
      <c r="L15" s="319" t="s">
        <v>68</v>
      </c>
      <c r="M15" s="315" t="s">
        <v>68</v>
      </c>
      <c r="N15" s="332" t="s">
        <v>68</v>
      </c>
      <c r="O15" s="319" t="s">
        <v>68</v>
      </c>
      <c r="P15" s="319" t="s">
        <v>68</v>
      </c>
      <c r="Q15" s="512" t="s">
        <v>68</v>
      </c>
      <c r="R15" s="319" t="s">
        <v>68</v>
      </c>
      <c r="S15" s="319" t="s">
        <v>68</v>
      </c>
      <c r="T15" s="319" t="s">
        <v>68</v>
      </c>
      <c r="U15" s="319" t="s">
        <v>68</v>
      </c>
      <c r="V15" s="319" t="s">
        <v>68</v>
      </c>
      <c r="W15" s="319" t="s">
        <v>68</v>
      </c>
      <c r="X15" s="319" t="s">
        <v>68</v>
      </c>
      <c r="Y15" s="322" t="s">
        <v>68</v>
      </c>
      <c r="Z15" s="319" t="s">
        <v>68</v>
      </c>
      <c r="AA15" s="319" t="s">
        <v>68</v>
      </c>
      <c r="AB15" s="319" t="s">
        <v>68</v>
      </c>
      <c r="AC15" s="512" t="s">
        <v>68</v>
      </c>
      <c r="AD15" s="319" t="s">
        <v>68</v>
      </c>
      <c r="AE15" s="319" t="s">
        <v>68</v>
      </c>
      <c r="AF15" s="319" t="s">
        <v>68</v>
      </c>
      <c r="AG15" s="319" t="s">
        <v>68</v>
      </c>
      <c r="AH15" s="512" t="s">
        <v>68</v>
      </c>
      <c r="AI15" s="319" t="s">
        <v>68</v>
      </c>
    </row>
    <row r="16" spans="1:37">
      <c r="A16" s="317" t="str">
        <f>Data!A19</f>
        <v>HVIL001-HDPE-RT-PC-C12.7-0014</v>
      </c>
      <c r="B16" s="497" t="str">
        <f>Data!BC19</f>
        <v>Y</v>
      </c>
      <c r="C16" s="529">
        <f>Data!S19</f>
        <v>6498.8549667434099</v>
      </c>
      <c r="D16" s="318">
        <v>30.4</v>
      </c>
      <c r="E16" s="319">
        <v>30.15</v>
      </c>
      <c r="F16" s="319">
        <v>30.15</v>
      </c>
      <c r="G16" s="320">
        <v>30</v>
      </c>
      <c r="H16" s="313">
        <f t="shared" ref="H16:H34" si="0">IF(D16="","",AVERAGE(E16,G16)*AVERAGE(D16,F16))</f>
        <v>910.52062499999988</v>
      </c>
      <c r="I16" s="330">
        <v>6.39</v>
      </c>
      <c r="J16" s="323">
        <v>6.33</v>
      </c>
      <c r="K16" s="323">
        <v>6.56</v>
      </c>
      <c r="L16" s="323">
        <v>6.34</v>
      </c>
      <c r="M16" s="331">
        <f t="shared" ref="M16:M34" si="1">IF(I16="","",AVERAGE(I16:L16))</f>
        <v>6.4049999999999994</v>
      </c>
      <c r="N16" s="337">
        <v>36.299999999999997</v>
      </c>
      <c r="O16" s="338">
        <v>36</v>
      </c>
      <c r="P16" s="336">
        <f t="shared" ref="P16:P67" si="2">IF(N16="","",IF(N16&gt;O16,N16,O16))</f>
        <v>36.299999999999997</v>
      </c>
      <c r="Q16" s="510">
        <f t="shared" ref="Q16:Q67" si="3">IF(N16="","",3.14159*(N16/2)*(O16/2))</f>
        <v>1026.3574529999999</v>
      </c>
      <c r="R16" s="338">
        <v>44.9</v>
      </c>
      <c r="S16" s="338">
        <v>44.4</v>
      </c>
      <c r="T16" s="336">
        <f t="shared" ref="T16:T68" si="4">IF(R16="","",3.14159*(R16/2)*(S16/2))</f>
        <v>1565.7370400999998</v>
      </c>
      <c r="U16" s="338">
        <v>45.2</v>
      </c>
      <c r="V16" s="424">
        <v>45.3</v>
      </c>
      <c r="W16" s="419">
        <f t="shared" ref="W16:W68" si="5">IF(R16="","",3.14159*(U16/2)*(V16/2))</f>
        <v>1608.1485050999997</v>
      </c>
      <c r="X16" s="423">
        <f t="shared" ref="X16:X67" si="6">IF(W16="","",IF(W16&gt;T16,W16,T16))</f>
        <v>1608.1485050999997</v>
      </c>
      <c r="Y16" s="339">
        <v>9.4</v>
      </c>
      <c r="Z16" s="338">
        <v>8.1</v>
      </c>
      <c r="AA16" s="338">
        <v>8</v>
      </c>
      <c r="AB16" s="338">
        <v>10</v>
      </c>
      <c r="AC16" s="524">
        <f>IF(Y16="","",AVERAGE(Y16:AB16))</f>
        <v>8.875</v>
      </c>
      <c r="AD16" s="338">
        <v>3.9</v>
      </c>
      <c r="AE16" s="338">
        <v>4.7</v>
      </c>
      <c r="AF16" s="338">
        <v>5.7</v>
      </c>
      <c r="AG16" s="338">
        <v>4.3</v>
      </c>
      <c r="AH16" s="549">
        <f t="shared" ref="AH16:AH34" si="7">IF(AD16="","",AVERAGE(AD16:AG16))</f>
        <v>4.6500000000000004</v>
      </c>
      <c r="AI16" s="515">
        <f t="shared" ref="AI16:AI67" si="8">IF(AH16="","",AVERAGE(AH16,AC16))</f>
        <v>6.7625000000000002</v>
      </c>
    </row>
    <row r="17" spans="1:35">
      <c r="A17" s="317" t="str">
        <f>Data!A20</f>
        <v>HVIL001-HDPE-RT-AL-S10.0-0015</v>
      </c>
      <c r="B17" s="497" t="str">
        <f>Data!BC20</f>
        <v>Y</v>
      </c>
      <c r="C17" s="529">
        <f>Data!S20</f>
        <v>4676.4484562552625</v>
      </c>
      <c r="D17" s="318" t="s">
        <v>68</v>
      </c>
      <c r="E17" s="319" t="s">
        <v>68</v>
      </c>
      <c r="F17" s="319" t="s">
        <v>68</v>
      </c>
      <c r="G17" s="320" t="s">
        <v>68</v>
      </c>
      <c r="H17" s="313" t="s">
        <v>68</v>
      </c>
      <c r="I17" s="321" t="s">
        <v>68</v>
      </c>
      <c r="J17" s="319" t="s">
        <v>68</v>
      </c>
      <c r="K17" s="319" t="s">
        <v>68</v>
      </c>
      <c r="L17" s="319" t="s">
        <v>68</v>
      </c>
      <c r="M17" s="315" t="s">
        <v>68</v>
      </c>
      <c r="N17" s="332" t="s">
        <v>68</v>
      </c>
      <c r="O17" s="319" t="s">
        <v>68</v>
      </c>
      <c r="P17" s="319" t="s">
        <v>68</v>
      </c>
      <c r="Q17" s="512" t="s">
        <v>68</v>
      </c>
      <c r="R17" s="319" t="s">
        <v>68</v>
      </c>
      <c r="S17" s="319" t="s">
        <v>68</v>
      </c>
      <c r="T17" s="319" t="s">
        <v>68</v>
      </c>
      <c r="U17" s="319" t="s">
        <v>68</v>
      </c>
      <c r="V17" s="319" t="s">
        <v>68</v>
      </c>
      <c r="W17" s="319" t="s">
        <v>68</v>
      </c>
      <c r="X17" s="319" t="s">
        <v>68</v>
      </c>
      <c r="Y17" s="322" t="s">
        <v>68</v>
      </c>
      <c r="Z17" s="319" t="s">
        <v>68</v>
      </c>
      <c r="AA17" s="319" t="s">
        <v>68</v>
      </c>
      <c r="AB17" s="319" t="s">
        <v>68</v>
      </c>
      <c r="AC17" s="512" t="s">
        <v>68</v>
      </c>
      <c r="AD17" s="319" t="s">
        <v>68</v>
      </c>
      <c r="AE17" s="319" t="s">
        <v>68</v>
      </c>
      <c r="AF17" s="319" t="s">
        <v>68</v>
      </c>
      <c r="AG17" s="319" t="s">
        <v>68</v>
      </c>
      <c r="AH17" s="512" t="s">
        <v>68</v>
      </c>
      <c r="AI17" s="319" t="s">
        <v>68</v>
      </c>
    </row>
    <row r="18" spans="1:35">
      <c r="A18" s="317" t="str">
        <f>Data!A21</f>
        <v>HVIL001-HDPE-RT-AL-S10.0-0016</v>
      </c>
      <c r="B18" s="497" t="str">
        <f>Data!BC21</f>
        <v>Y</v>
      </c>
      <c r="C18" s="529">
        <f>Data!S21</f>
        <v>5206.9860256991833</v>
      </c>
      <c r="D18" s="318">
        <v>30.3</v>
      </c>
      <c r="E18" s="319">
        <v>30.3</v>
      </c>
      <c r="F18" s="319">
        <v>30.35</v>
      </c>
      <c r="G18" s="320">
        <v>30.5</v>
      </c>
      <c r="H18" s="313">
        <f t="shared" si="0"/>
        <v>921.88</v>
      </c>
      <c r="I18" s="321">
        <v>6.34</v>
      </c>
      <c r="J18" s="319">
        <v>6.31</v>
      </c>
      <c r="K18" s="319">
        <v>6.36</v>
      </c>
      <c r="L18" s="319">
        <v>6.35</v>
      </c>
      <c r="M18" s="315">
        <f t="shared" si="1"/>
        <v>6.34</v>
      </c>
      <c r="N18" s="337">
        <v>30.5</v>
      </c>
      <c r="O18" s="338">
        <v>30.3</v>
      </c>
      <c r="P18" s="336">
        <f t="shared" si="2"/>
        <v>30.5</v>
      </c>
      <c r="Q18" s="510">
        <f t="shared" si="3"/>
        <v>725.82509962500001</v>
      </c>
      <c r="R18" s="338">
        <v>38.1</v>
      </c>
      <c r="S18" s="338">
        <v>37.9</v>
      </c>
      <c r="T18" s="336">
        <f t="shared" si="4"/>
        <v>1134.1061360250001</v>
      </c>
      <c r="U18" s="338">
        <v>40.200000000000003</v>
      </c>
      <c r="V18" s="424">
        <v>40.1</v>
      </c>
      <c r="W18" s="419">
        <f t="shared" si="5"/>
        <v>1266.0764779500003</v>
      </c>
      <c r="X18" s="423">
        <f t="shared" si="6"/>
        <v>1266.0764779500003</v>
      </c>
      <c r="Y18" s="339">
        <v>7.8</v>
      </c>
      <c r="Z18" s="338">
        <v>7.9</v>
      </c>
      <c r="AA18" s="338">
        <v>6</v>
      </c>
      <c r="AB18" s="338">
        <v>7.3</v>
      </c>
      <c r="AC18" s="524">
        <f>IF(Y18="","",AVERAGE(Y18:AB18))</f>
        <v>7.25</v>
      </c>
      <c r="AD18" s="338">
        <v>4.5999999999999996</v>
      </c>
      <c r="AE18" s="338">
        <v>4.9000000000000004</v>
      </c>
      <c r="AF18" s="338">
        <v>4.5999999999999996</v>
      </c>
      <c r="AG18" s="338">
        <v>5.5</v>
      </c>
      <c r="AH18" s="549">
        <f t="shared" si="7"/>
        <v>4.9000000000000004</v>
      </c>
      <c r="AI18" s="515">
        <f t="shared" si="8"/>
        <v>6.0750000000000002</v>
      </c>
    </row>
    <row r="19" spans="1:35">
      <c r="A19" s="317" t="str">
        <f>Data!A22</f>
        <v>HVIL001-UHMWPE-RT-AL-S10.0-0017</v>
      </c>
      <c r="B19" s="497" t="str">
        <f>Data!BC22</f>
        <v>Y</v>
      </c>
      <c r="C19" s="529">
        <f>Data!S22</f>
        <v>4859.8626214034184</v>
      </c>
      <c r="D19" s="318">
        <v>30.2</v>
      </c>
      <c r="E19" s="319">
        <v>30.2</v>
      </c>
      <c r="F19" s="319">
        <v>30.3</v>
      </c>
      <c r="G19" s="320">
        <v>30.2</v>
      </c>
      <c r="H19" s="313">
        <f t="shared" si="0"/>
        <v>913.55</v>
      </c>
      <c r="I19" s="321">
        <v>6.73</v>
      </c>
      <c r="J19" s="319">
        <v>6.69</v>
      </c>
      <c r="K19" s="319">
        <v>6.69</v>
      </c>
      <c r="L19" s="319">
        <v>6.64</v>
      </c>
      <c r="M19" s="315">
        <f t="shared" si="1"/>
        <v>6.6875000000000009</v>
      </c>
      <c r="N19" s="337">
        <v>20.399999999999999</v>
      </c>
      <c r="O19" s="338">
        <v>21</v>
      </c>
      <c r="P19" s="336">
        <f t="shared" si="2"/>
        <v>21</v>
      </c>
      <c r="Q19" s="510">
        <f t="shared" si="3"/>
        <v>336.46428899999995</v>
      </c>
      <c r="R19" s="338">
        <v>35</v>
      </c>
      <c r="S19" s="338">
        <v>35.299999999999997</v>
      </c>
      <c r="T19" s="336">
        <f t="shared" si="4"/>
        <v>970.35861124999985</v>
      </c>
      <c r="U19" s="338">
        <v>38.700000000000003</v>
      </c>
      <c r="V19" s="424">
        <v>38.1</v>
      </c>
      <c r="W19" s="419">
        <f t="shared" si="5"/>
        <v>1158.045051825</v>
      </c>
      <c r="X19" s="423">
        <f t="shared" si="6"/>
        <v>1158.045051825</v>
      </c>
      <c r="Y19" s="339">
        <v>4.0999999999999996</v>
      </c>
      <c r="Z19" s="338">
        <v>4.7</v>
      </c>
      <c r="AA19" s="338">
        <v>4</v>
      </c>
      <c r="AB19" s="338">
        <v>5</v>
      </c>
      <c r="AC19" s="524">
        <f>IF(Y19="","",AVERAGE(Y19:AB19))</f>
        <v>4.45</v>
      </c>
      <c r="AD19" s="338">
        <v>3.6</v>
      </c>
      <c r="AE19" s="338">
        <v>2.2999999999999998</v>
      </c>
      <c r="AF19" s="338">
        <v>4.4000000000000004</v>
      </c>
      <c r="AG19" s="338">
        <v>3.4</v>
      </c>
      <c r="AH19" s="549">
        <f t="shared" si="7"/>
        <v>3.4250000000000003</v>
      </c>
      <c r="AI19" s="515">
        <f t="shared" si="8"/>
        <v>3.9375</v>
      </c>
    </row>
    <row r="20" spans="1:35">
      <c r="A20" s="317" t="str">
        <f>Data!A23</f>
        <v>HVIL001-HDPE-RT-AL-S10.0-0018</v>
      </c>
      <c r="B20" s="497" t="str">
        <f>Data!BC23</f>
        <v>N</v>
      </c>
      <c r="C20" s="529" t="str">
        <f>Data!S23</f>
        <v>N/A</v>
      </c>
      <c r="D20" s="318">
        <v>30.3</v>
      </c>
      <c r="E20" s="319">
        <v>30.25</v>
      </c>
      <c r="F20" s="319">
        <v>30.3</v>
      </c>
      <c r="G20" s="320">
        <v>30.2</v>
      </c>
      <c r="H20" s="313">
        <f t="shared" si="0"/>
        <v>915.81750000000011</v>
      </c>
      <c r="I20" s="321">
        <v>6.46</v>
      </c>
      <c r="J20" s="319">
        <v>6.36</v>
      </c>
      <c r="K20" s="319">
        <v>6.51</v>
      </c>
      <c r="L20" s="319">
        <v>6.35</v>
      </c>
      <c r="M20" s="315">
        <f t="shared" si="1"/>
        <v>6.42</v>
      </c>
      <c r="N20" s="337">
        <v>30.3</v>
      </c>
      <c r="O20" s="338">
        <v>30.4</v>
      </c>
      <c r="P20" s="336">
        <f t="shared" si="2"/>
        <v>30.4</v>
      </c>
      <c r="Q20" s="510">
        <f t="shared" si="3"/>
        <v>723.44534520000002</v>
      </c>
      <c r="R20" s="338">
        <v>38.5</v>
      </c>
      <c r="S20" s="338">
        <v>38.6</v>
      </c>
      <c r="T20" s="336">
        <f t="shared" si="4"/>
        <v>1167.17922475</v>
      </c>
      <c r="U20" s="338">
        <v>37.9</v>
      </c>
      <c r="V20" s="424">
        <v>37.700000000000003</v>
      </c>
      <c r="W20" s="419">
        <f t="shared" si="5"/>
        <v>1122.199509925</v>
      </c>
      <c r="X20" s="423">
        <f t="shared" si="6"/>
        <v>1167.17922475</v>
      </c>
      <c r="Y20" s="339">
        <v>7.1</v>
      </c>
      <c r="Z20" s="338">
        <v>8.4600000000000009</v>
      </c>
      <c r="AA20" s="338">
        <v>5.18</v>
      </c>
      <c r="AB20" s="338">
        <v>6.73</v>
      </c>
      <c r="AC20" s="524">
        <f>IF(Y20="","",AVERAGE(Y20:AB20))</f>
        <v>6.8675000000000006</v>
      </c>
      <c r="AD20" s="338">
        <v>4.5</v>
      </c>
      <c r="AE20" s="338">
        <v>6.2</v>
      </c>
      <c r="AF20" s="338">
        <v>4.2</v>
      </c>
      <c r="AG20" s="338">
        <v>5.0999999999999996</v>
      </c>
      <c r="AH20" s="549">
        <f t="shared" si="7"/>
        <v>5</v>
      </c>
      <c r="AI20" s="515">
        <f t="shared" si="8"/>
        <v>5.9337499999999999</v>
      </c>
    </row>
    <row r="21" spans="1:35">
      <c r="A21" s="317" t="str">
        <f>Data!A24</f>
        <v>HVIL001-UHMWPE-RT-AL-S10.0-0019</v>
      </c>
      <c r="B21" s="497" t="str">
        <f>Data!BC24</f>
        <v>Y</v>
      </c>
      <c r="C21" s="529">
        <f>Data!S24</f>
        <v>5404.5498310843977</v>
      </c>
      <c r="D21" s="318">
        <v>30.2</v>
      </c>
      <c r="E21" s="319">
        <v>30.55</v>
      </c>
      <c r="F21" s="319">
        <v>30.25</v>
      </c>
      <c r="G21" s="320">
        <v>30.95</v>
      </c>
      <c r="H21" s="313">
        <f t="shared" si="0"/>
        <v>929.41875000000005</v>
      </c>
      <c r="I21" s="321">
        <v>6.88</v>
      </c>
      <c r="J21" s="319">
        <v>6.65</v>
      </c>
      <c r="K21" s="319">
        <v>6.64</v>
      </c>
      <c r="L21" s="319">
        <v>6.82</v>
      </c>
      <c r="M21" s="315">
        <f t="shared" si="1"/>
        <v>6.7475000000000005</v>
      </c>
      <c r="N21" s="337">
        <v>22.4</v>
      </c>
      <c r="O21" s="338">
        <v>20.8</v>
      </c>
      <c r="P21" s="336">
        <f t="shared" si="2"/>
        <v>22.4</v>
      </c>
      <c r="Q21" s="510">
        <f t="shared" si="3"/>
        <v>365.93240319999995</v>
      </c>
      <c r="R21" s="338">
        <v>38.9</v>
      </c>
      <c r="S21" s="338">
        <v>39</v>
      </c>
      <c r="T21" s="336">
        <f t="shared" si="4"/>
        <v>1191.52654725</v>
      </c>
      <c r="U21" s="338">
        <v>40.4</v>
      </c>
      <c r="V21" s="424">
        <v>39.799999999999997</v>
      </c>
      <c r="W21" s="419">
        <f t="shared" si="5"/>
        <v>1262.8563481999997</v>
      </c>
      <c r="X21" s="423">
        <f t="shared" si="6"/>
        <v>1262.8563481999997</v>
      </c>
      <c r="Y21" s="339">
        <v>6.4</v>
      </c>
      <c r="Z21" s="338">
        <v>5.5</v>
      </c>
      <c r="AA21" s="338">
        <v>4.0999999999999996</v>
      </c>
      <c r="AB21" s="338">
        <v>3.2</v>
      </c>
      <c r="AC21" s="524">
        <f>IF(Y21="","",AVERAGE(Y21:AB21))</f>
        <v>4.8</v>
      </c>
      <c r="AD21" s="338">
        <v>2.6</v>
      </c>
      <c r="AE21" s="340">
        <v>1.8</v>
      </c>
      <c r="AF21" s="338">
        <v>1.8</v>
      </c>
      <c r="AG21" s="338">
        <v>1.2</v>
      </c>
      <c r="AH21" s="549">
        <f t="shared" si="7"/>
        <v>1.85</v>
      </c>
      <c r="AI21" s="515">
        <f t="shared" si="8"/>
        <v>3.3250000000000002</v>
      </c>
    </row>
    <row r="22" spans="1:35">
      <c r="A22" s="317" t="str">
        <f>Data!A25</f>
        <v>HVIL001-LAYERP-RT-AL-S10.0-0020</v>
      </c>
      <c r="B22" s="497" t="str">
        <f>Data!BC25</f>
        <v>Y</v>
      </c>
      <c r="C22" s="529">
        <f>Data!S25</f>
        <v>4297.5894462663437</v>
      </c>
      <c r="D22" s="318" t="s">
        <v>68</v>
      </c>
      <c r="E22" s="319" t="s">
        <v>68</v>
      </c>
      <c r="F22" s="319" t="s">
        <v>68</v>
      </c>
      <c r="G22" s="320" t="s">
        <v>68</v>
      </c>
      <c r="H22" s="313" t="s">
        <v>68</v>
      </c>
      <c r="I22" s="321" t="s">
        <v>68</v>
      </c>
      <c r="J22" s="319" t="s">
        <v>68</v>
      </c>
      <c r="K22" s="319" t="s">
        <v>68</v>
      </c>
      <c r="L22" s="319" t="s">
        <v>68</v>
      </c>
      <c r="M22" s="315" t="s">
        <v>68</v>
      </c>
      <c r="N22" s="332" t="s">
        <v>68</v>
      </c>
      <c r="O22" s="319" t="s">
        <v>68</v>
      </c>
      <c r="P22" s="319" t="s">
        <v>68</v>
      </c>
      <c r="Q22" s="512" t="s">
        <v>68</v>
      </c>
      <c r="R22" s="319" t="s">
        <v>68</v>
      </c>
      <c r="S22" s="319" t="s">
        <v>68</v>
      </c>
      <c r="T22" s="319" t="s">
        <v>68</v>
      </c>
      <c r="U22" s="319" t="s">
        <v>68</v>
      </c>
      <c r="V22" s="319" t="s">
        <v>68</v>
      </c>
      <c r="W22" s="319" t="s">
        <v>68</v>
      </c>
      <c r="X22" s="319" t="s">
        <v>68</v>
      </c>
      <c r="Y22" s="322" t="s">
        <v>68</v>
      </c>
      <c r="Z22" s="319" t="s">
        <v>68</v>
      </c>
      <c r="AA22" s="319" t="s">
        <v>68</v>
      </c>
      <c r="AB22" s="319" t="s">
        <v>68</v>
      </c>
      <c r="AC22" s="512" t="s">
        <v>68</v>
      </c>
      <c r="AD22" s="319" t="s">
        <v>68</v>
      </c>
      <c r="AE22" s="319" t="s">
        <v>68</v>
      </c>
      <c r="AF22" s="319" t="s">
        <v>68</v>
      </c>
      <c r="AG22" s="319" t="s">
        <v>68</v>
      </c>
      <c r="AH22" s="512" t="s">
        <v>68</v>
      </c>
      <c r="AI22" s="319" t="s">
        <v>68</v>
      </c>
    </row>
    <row r="23" spans="1:35">
      <c r="A23" s="317" t="str">
        <f>Data!A26</f>
        <v>HVIL001-HDPE-RT-AL-S10.0-0021</v>
      </c>
      <c r="B23" s="497" t="str">
        <f>Data!BC26</f>
        <v>N</v>
      </c>
      <c r="C23" s="529">
        <f>Data!S26</f>
        <v>5495.5123005410678</v>
      </c>
      <c r="D23" s="318" t="s">
        <v>68</v>
      </c>
      <c r="E23" s="319" t="s">
        <v>68</v>
      </c>
      <c r="F23" s="319" t="s">
        <v>68</v>
      </c>
      <c r="G23" s="320" t="s">
        <v>68</v>
      </c>
      <c r="H23" s="313" t="s">
        <v>68</v>
      </c>
      <c r="I23" s="321" t="s">
        <v>68</v>
      </c>
      <c r="J23" s="319" t="s">
        <v>68</v>
      </c>
      <c r="K23" s="319" t="s">
        <v>68</v>
      </c>
      <c r="L23" s="319" t="s">
        <v>68</v>
      </c>
      <c r="M23" s="315" t="s">
        <v>68</v>
      </c>
      <c r="N23" s="332" t="s">
        <v>68</v>
      </c>
      <c r="O23" s="319" t="s">
        <v>68</v>
      </c>
      <c r="P23" s="319" t="s">
        <v>68</v>
      </c>
      <c r="Q23" s="512" t="s">
        <v>68</v>
      </c>
      <c r="R23" s="319" t="s">
        <v>68</v>
      </c>
      <c r="S23" s="319" t="s">
        <v>68</v>
      </c>
      <c r="T23" s="319" t="s">
        <v>68</v>
      </c>
      <c r="U23" s="319" t="s">
        <v>68</v>
      </c>
      <c r="V23" s="319" t="s">
        <v>68</v>
      </c>
      <c r="W23" s="319" t="s">
        <v>68</v>
      </c>
      <c r="X23" s="319" t="s">
        <v>68</v>
      </c>
      <c r="Y23" s="322" t="s">
        <v>68</v>
      </c>
      <c r="Z23" s="319" t="s">
        <v>68</v>
      </c>
      <c r="AA23" s="319" t="s">
        <v>68</v>
      </c>
      <c r="AB23" s="319" t="s">
        <v>68</v>
      </c>
      <c r="AC23" s="512" t="s">
        <v>68</v>
      </c>
      <c r="AD23" s="319" t="s">
        <v>68</v>
      </c>
      <c r="AE23" s="319" t="s">
        <v>68</v>
      </c>
      <c r="AF23" s="319" t="s">
        <v>68</v>
      </c>
      <c r="AG23" s="319" t="s">
        <v>68</v>
      </c>
      <c r="AH23" s="512" t="s">
        <v>68</v>
      </c>
      <c r="AI23" s="319" t="s">
        <v>68</v>
      </c>
    </row>
    <row r="24" spans="1:35">
      <c r="A24" s="317" t="str">
        <f>Data!A27</f>
        <v>HVIL001-HDPE-RT-PC-C12.7-0022</v>
      </c>
      <c r="B24" s="497" t="str">
        <f>Data!BC27</f>
        <v>Y</v>
      </c>
      <c r="C24" s="529">
        <f>Data!S27</f>
        <v>6663.6856298796647</v>
      </c>
      <c r="D24" s="318">
        <v>30.1</v>
      </c>
      <c r="E24" s="319">
        <v>30.4</v>
      </c>
      <c r="F24" s="319">
        <v>30.1</v>
      </c>
      <c r="G24" s="320">
        <v>30.2</v>
      </c>
      <c r="H24" s="313">
        <f t="shared" si="0"/>
        <v>912.03</v>
      </c>
      <c r="I24" s="321">
        <v>6.35</v>
      </c>
      <c r="J24" s="319">
        <v>6.4</v>
      </c>
      <c r="K24" s="319">
        <v>6.36</v>
      </c>
      <c r="L24" s="319">
        <v>6.35</v>
      </c>
      <c r="M24" s="315">
        <f t="shared" si="1"/>
        <v>6.3650000000000002</v>
      </c>
      <c r="N24" s="337">
        <v>35.9</v>
      </c>
      <c r="O24" s="338">
        <v>36</v>
      </c>
      <c r="P24" s="336">
        <f t="shared" si="2"/>
        <v>36</v>
      </c>
      <c r="Q24" s="510">
        <f t="shared" si="3"/>
        <v>1015.047729</v>
      </c>
      <c r="R24" s="338">
        <v>44.1</v>
      </c>
      <c r="S24" s="338">
        <v>45.1</v>
      </c>
      <c r="T24" s="336">
        <f t="shared" si="4"/>
        <v>1562.0849417249999</v>
      </c>
      <c r="U24" s="338">
        <v>45</v>
      </c>
      <c r="V24" s="424">
        <v>45.1</v>
      </c>
      <c r="W24" s="419">
        <f t="shared" si="5"/>
        <v>1593.9642262499999</v>
      </c>
      <c r="X24" s="423">
        <f t="shared" si="6"/>
        <v>1593.9642262499999</v>
      </c>
      <c r="Y24" s="339">
        <v>7.41</v>
      </c>
      <c r="Z24" s="338">
        <v>7.9</v>
      </c>
      <c r="AA24" s="338">
        <v>7.8</v>
      </c>
      <c r="AB24" s="338">
        <v>10.029999999999999</v>
      </c>
      <c r="AC24" s="524">
        <f>IF(Y24="","",AVERAGE(Y24:AB24))</f>
        <v>8.2850000000000001</v>
      </c>
      <c r="AD24" s="338">
        <v>3.9</v>
      </c>
      <c r="AE24" s="338">
        <v>4.0999999999999996</v>
      </c>
      <c r="AF24" s="338">
        <v>3.7</v>
      </c>
      <c r="AG24" s="338">
        <v>4.8</v>
      </c>
      <c r="AH24" s="549">
        <f t="shared" si="7"/>
        <v>4.125</v>
      </c>
      <c r="AI24" s="515">
        <f t="shared" si="8"/>
        <v>6.2050000000000001</v>
      </c>
    </row>
    <row r="25" spans="1:35">
      <c r="A25" s="317" t="str">
        <f>Data!A28</f>
        <v>HVIL001-HDPE-RT-AL-S10.0-0023</v>
      </c>
      <c r="B25" s="497" t="str">
        <f>Data!BC28</f>
        <v>Y</v>
      </c>
      <c r="C25" s="529">
        <f>Data!S28</f>
        <v>5229.5277194341643</v>
      </c>
      <c r="D25" s="318">
        <v>30.35</v>
      </c>
      <c r="E25" s="319">
        <v>30.4</v>
      </c>
      <c r="F25" s="319">
        <v>30.6</v>
      </c>
      <c r="G25" s="320">
        <v>30.6</v>
      </c>
      <c r="H25" s="313">
        <f t="shared" si="0"/>
        <v>929.48750000000007</v>
      </c>
      <c r="I25" s="321">
        <v>6.4</v>
      </c>
      <c r="J25" s="319">
        <v>6.38</v>
      </c>
      <c r="K25" s="319">
        <v>6.46</v>
      </c>
      <c r="L25" s="319">
        <v>6.4</v>
      </c>
      <c r="M25" s="315">
        <f t="shared" si="1"/>
        <v>6.41</v>
      </c>
      <c r="N25" s="337">
        <v>44</v>
      </c>
      <c r="O25" s="338">
        <v>35</v>
      </c>
      <c r="P25" s="336">
        <f t="shared" si="2"/>
        <v>44</v>
      </c>
      <c r="Q25" s="510">
        <f t="shared" si="3"/>
        <v>1209.51215</v>
      </c>
      <c r="R25" s="338">
        <v>51.8</v>
      </c>
      <c r="S25" s="338">
        <v>42.2</v>
      </c>
      <c r="T25" s="336">
        <f t="shared" si="4"/>
        <v>1716.8475190999998</v>
      </c>
      <c r="U25" s="338">
        <v>53.9</v>
      </c>
      <c r="V25" s="424">
        <v>43.2</v>
      </c>
      <c r="W25" s="419">
        <f t="shared" si="5"/>
        <v>1828.7823707999999</v>
      </c>
      <c r="X25" s="423">
        <f t="shared" si="6"/>
        <v>1828.7823707999999</v>
      </c>
      <c r="Y25" s="339">
        <v>5.8</v>
      </c>
      <c r="Z25" s="338">
        <v>2.1</v>
      </c>
      <c r="AA25" s="338">
        <v>4.5999999999999996</v>
      </c>
      <c r="AB25" s="338">
        <v>5.9</v>
      </c>
      <c r="AC25" s="524">
        <f>IF(Y25="","",AVERAGE(Y25:AB25))</f>
        <v>4.5999999999999996</v>
      </c>
      <c r="AD25" s="338">
        <v>4.9000000000000004</v>
      </c>
      <c r="AE25" s="338">
        <v>5.04</v>
      </c>
      <c r="AF25" s="338">
        <v>4.97</v>
      </c>
      <c r="AG25" s="338">
        <v>4.47</v>
      </c>
      <c r="AH25" s="549">
        <f t="shared" si="7"/>
        <v>4.8449999999999998</v>
      </c>
      <c r="AI25" s="515">
        <f t="shared" si="8"/>
        <v>4.7225000000000001</v>
      </c>
    </row>
    <row r="26" spans="1:35">
      <c r="A26" s="317" t="str">
        <f>Data!A29</f>
        <v>HVIL001-HDPE-RT-AL-S10.0-0024</v>
      </c>
      <c r="B26" s="497" t="str">
        <f>Data!BC29</f>
        <v>Y</v>
      </c>
      <c r="C26" s="529">
        <f>Data!S29</f>
        <v>5342.4595839816038</v>
      </c>
      <c r="D26" s="318">
        <v>30.1</v>
      </c>
      <c r="E26" s="319">
        <v>30.3</v>
      </c>
      <c r="F26" s="319">
        <v>30.35</v>
      </c>
      <c r="G26" s="320">
        <v>30.2</v>
      </c>
      <c r="H26" s="313">
        <f t="shared" si="0"/>
        <v>914.30625000000009</v>
      </c>
      <c r="I26" s="321">
        <v>6.33</v>
      </c>
      <c r="J26" s="319">
        <v>6.32</v>
      </c>
      <c r="K26" s="319">
        <v>6.31</v>
      </c>
      <c r="L26" s="319">
        <v>6.33</v>
      </c>
      <c r="M26" s="315">
        <f t="shared" si="1"/>
        <v>6.3224999999999998</v>
      </c>
      <c r="N26" s="337">
        <v>47.7</v>
      </c>
      <c r="O26" s="338">
        <v>34.5</v>
      </c>
      <c r="P26" s="336">
        <f t="shared" si="2"/>
        <v>47.7</v>
      </c>
      <c r="Q26" s="510">
        <f t="shared" si="3"/>
        <v>1292.4893958750001</v>
      </c>
      <c r="R26" s="338">
        <v>55</v>
      </c>
      <c r="S26" s="338">
        <v>42.7</v>
      </c>
      <c r="T26" s="336">
        <f t="shared" si="4"/>
        <v>1844.5060287500003</v>
      </c>
      <c r="U26" s="338">
        <v>56.2</v>
      </c>
      <c r="V26" s="424">
        <v>43.1</v>
      </c>
      <c r="W26" s="419">
        <f t="shared" si="5"/>
        <v>1902.40553245</v>
      </c>
      <c r="X26" s="423">
        <f t="shared" si="6"/>
        <v>1902.40553245</v>
      </c>
      <c r="Y26" s="339">
        <v>5.3</v>
      </c>
      <c r="Z26" s="338">
        <v>2.8</v>
      </c>
      <c r="AA26" s="338">
        <v>4.8</v>
      </c>
      <c r="AB26" s="338">
        <v>5.7</v>
      </c>
      <c r="AC26" s="524">
        <f>IF(Y26="","",AVERAGE(Y26:AB26))</f>
        <v>4.6499999999999995</v>
      </c>
      <c r="AD26" s="338">
        <v>4.96</v>
      </c>
      <c r="AE26" s="338">
        <v>5.58</v>
      </c>
      <c r="AF26" s="338">
        <v>6.12</v>
      </c>
      <c r="AG26" s="338">
        <v>5.8</v>
      </c>
      <c r="AH26" s="549">
        <f t="shared" si="7"/>
        <v>5.6150000000000002</v>
      </c>
      <c r="AI26" s="515">
        <f t="shared" si="8"/>
        <v>5.1325000000000003</v>
      </c>
    </row>
    <row r="27" spans="1:35">
      <c r="A27" s="317" t="str">
        <f>Data!A30</f>
        <v>HVIL001-HDPE-RT-AL-S10.0-0025</v>
      </c>
      <c r="B27" s="497" t="str">
        <f>Data!BC30</f>
        <v>Y</v>
      </c>
      <c r="C27" s="529">
        <f>Data!S30</f>
        <v>4440.2157802782313</v>
      </c>
      <c r="D27" s="318">
        <v>29.85</v>
      </c>
      <c r="E27" s="319">
        <v>30</v>
      </c>
      <c r="F27" s="319">
        <v>30.3</v>
      </c>
      <c r="G27" s="320">
        <v>30.25</v>
      </c>
      <c r="H27" s="313">
        <f t="shared" si="0"/>
        <v>906.00937500000009</v>
      </c>
      <c r="I27" s="321">
        <v>6.33</v>
      </c>
      <c r="J27" s="319">
        <v>6.34</v>
      </c>
      <c r="K27" s="319">
        <v>6.35</v>
      </c>
      <c r="L27" s="319">
        <v>6.68</v>
      </c>
      <c r="M27" s="315">
        <f t="shared" si="1"/>
        <v>6.4249999999999998</v>
      </c>
      <c r="N27" s="337">
        <v>29</v>
      </c>
      <c r="O27" s="338">
        <v>31.2</v>
      </c>
      <c r="P27" s="336">
        <f t="shared" si="2"/>
        <v>31.2</v>
      </c>
      <c r="Q27" s="510">
        <f t="shared" si="3"/>
        <v>710.627658</v>
      </c>
      <c r="R27" s="338">
        <v>37.1</v>
      </c>
      <c r="S27" s="338">
        <v>39.6</v>
      </c>
      <c r="T27" s="336">
        <f t="shared" si="4"/>
        <v>1153.8745911000001</v>
      </c>
      <c r="U27" s="338">
        <v>37.200000000000003</v>
      </c>
      <c r="V27" s="424">
        <v>39.200000000000003</v>
      </c>
      <c r="W27" s="419">
        <f t="shared" si="5"/>
        <v>1145.2980504000002</v>
      </c>
      <c r="X27" s="423">
        <f t="shared" si="6"/>
        <v>1153.8745911000001</v>
      </c>
      <c r="Y27" s="339">
        <v>6.19</v>
      </c>
      <c r="Z27" s="338">
        <v>6.77</v>
      </c>
      <c r="AA27" s="338">
        <v>6.24</v>
      </c>
      <c r="AB27" s="338">
        <v>5.48</v>
      </c>
      <c r="AC27" s="524">
        <f>IF(Y27="","",AVERAGE(Y27:AB27))</f>
        <v>6.1700000000000008</v>
      </c>
      <c r="AD27" s="338">
        <v>5.41</v>
      </c>
      <c r="AE27" s="338">
        <v>4.95</v>
      </c>
      <c r="AF27" s="338">
        <v>3.95</v>
      </c>
      <c r="AG27" s="338">
        <v>4</v>
      </c>
      <c r="AH27" s="549">
        <f t="shared" si="7"/>
        <v>4.5774999999999997</v>
      </c>
      <c r="AI27" s="515">
        <f t="shared" si="8"/>
        <v>5.3737500000000002</v>
      </c>
    </row>
    <row r="28" spans="1:35">
      <c r="A28" s="317" t="str">
        <f>Data!A31</f>
        <v>HVIL001-UHMWPE-RT-RN-C12.7-0026</v>
      </c>
      <c r="B28" s="497" t="str">
        <f>Data!BC31</f>
        <v>N</v>
      </c>
      <c r="C28" s="529" t="str">
        <f>Data!S31</f>
        <v>N/R</v>
      </c>
      <c r="D28" s="318" t="s">
        <v>68</v>
      </c>
      <c r="E28" s="319" t="s">
        <v>68</v>
      </c>
      <c r="F28" s="319" t="s">
        <v>68</v>
      </c>
      <c r="G28" s="320" t="s">
        <v>68</v>
      </c>
      <c r="H28" s="313" t="s">
        <v>68</v>
      </c>
      <c r="I28" s="321" t="s">
        <v>68</v>
      </c>
      <c r="J28" s="319" t="s">
        <v>68</v>
      </c>
      <c r="K28" s="319" t="s">
        <v>68</v>
      </c>
      <c r="L28" s="319" t="s">
        <v>68</v>
      </c>
      <c r="M28" s="315" t="s">
        <v>68</v>
      </c>
      <c r="N28" s="332" t="s">
        <v>68</v>
      </c>
      <c r="O28" s="319" t="s">
        <v>68</v>
      </c>
      <c r="P28" s="319" t="s">
        <v>68</v>
      </c>
      <c r="Q28" s="512" t="s">
        <v>68</v>
      </c>
      <c r="R28" s="319" t="s">
        <v>68</v>
      </c>
      <c r="S28" s="319" t="s">
        <v>68</v>
      </c>
      <c r="T28" s="319" t="s">
        <v>68</v>
      </c>
      <c r="U28" s="319" t="s">
        <v>68</v>
      </c>
      <c r="V28" s="319" t="s">
        <v>68</v>
      </c>
      <c r="W28" s="319" t="s">
        <v>68</v>
      </c>
      <c r="X28" s="319" t="s">
        <v>68</v>
      </c>
      <c r="Y28" s="322" t="s">
        <v>68</v>
      </c>
      <c r="Z28" s="319" t="s">
        <v>68</v>
      </c>
      <c r="AA28" s="319" t="s">
        <v>68</v>
      </c>
      <c r="AB28" s="319" t="s">
        <v>68</v>
      </c>
      <c r="AC28" s="512" t="s">
        <v>68</v>
      </c>
      <c r="AD28" s="319" t="s">
        <v>68</v>
      </c>
      <c r="AE28" s="319" t="s">
        <v>68</v>
      </c>
      <c r="AF28" s="319" t="s">
        <v>68</v>
      </c>
      <c r="AG28" s="319" t="s">
        <v>68</v>
      </c>
      <c r="AH28" s="512" t="s">
        <v>68</v>
      </c>
      <c r="AI28" s="319" t="s">
        <v>68</v>
      </c>
    </row>
    <row r="29" spans="1:35">
      <c r="A29" s="317" t="str">
        <f>Data!A32</f>
        <v>HVIL001-UHMWPE-RT-ST-S10.0-0027</v>
      </c>
      <c r="B29" s="497" t="str">
        <f>Data!BC32</f>
        <v>N</v>
      </c>
      <c r="C29" s="529">
        <f>Data!S32</f>
        <v>4164.9130647283719</v>
      </c>
      <c r="D29" s="318" t="s">
        <v>68</v>
      </c>
      <c r="E29" s="319" t="s">
        <v>68</v>
      </c>
      <c r="F29" s="319" t="s">
        <v>68</v>
      </c>
      <c r="G29" s="320" t="s">
        <v>68</v>
      </c>
      <c r="H29" s="313" t="s">
        <v>68</v>
      </c>
      <c r="I29" s="321" t="s">
        <v>68</v>
      </c>
      <c r="J29" s="319" t="s">
        <v>68</v>
      </c>
      <c r="K29" s="319" t="s">
        <v>68</v>
      </c>
      <c r="L29" s="319" t="s">
        <v>68</v>
      </c>
      <c r="M29" s="315" t="s">
        <v>68</v>
      </c>
      <c r="N29" s="332" t="s">
        <v>68</v>
      </c>
      <c r="O29" s="319" t="s">
        <v>68</v>
      </c>
      <c r="P29" s="319" t="s">
        <v>68</v>
      </c>
      <c r="Q29" s="512" t="s">
        <v>68</v>
      </c>
      <c r="R29" s="319" t="s">
        <v>68</v>
      </c>
      <c r="S29" s="319" t="s">
        <v>68</v>
      </c>
      <c r="T29" s="319" t="s">
        <v>68</v>
      </c>
      <c r="U29" s="319" t="s">
        <v>68</v>
      </c>
      <c r="V29" s="319" t="s">
        <v>68</v>
      </c>
      <c r="W29" s="319" t="s">
        <v>68</v>
      </c>
      <c r="X29" s="319" t="s">
        <v>68</v>
      </c>
      <c r="Y29" s="322" t="s">
        <v>68</v>
      </c>
      <c r="Z29" s="319" t="s">
        <v>68</v>
      </c>
      <c r="AA29" s="319" t="s">
        <v>68</v>
      </c>
      <c r="AB29" s="319" t="s">
        <v>68</v>
      </c>
      <c r="AC29" s="512" t="s">
        <v>68</v>
      </c>
      <c r="AD29" s="319" t="s">
        <v>68</v>
      </c>
      <c r="AE29" s="319" t="s">
        <v>68</v>
      </c>
      <c r="AF29" s="319" t="s">
        <v>68</v>
      </c>
      <c r="AG29" s="319" t="s">
        <v>68</v>
      </c>
      <c r="AH29" s="512" t="s">
        <v>68</v>
      </c>
      <c r="AI29" s="319" t="s">
        <v>68</v>
      </c>
    </row>
    <row r="30" spans="1:35">
      <c r="A30" s="317" t="str">
        <f>Data!A33</f>
        <v>HVIL001-UHMWPE-RT-AL-S10.0-0028</v>
      </c>
      <c r="B30" s="497" t="str">
        <f>Data!BC33</f>
        <v>Y</v>
      </c>
      <c r="C30" s="529">
        <f>Data!S33</f>
        <v>4664.8052849631586</v>
      </c>
      <c r="D30" s="318">
        <v>30.5</v>
      </c>
      <c r="E30" s="319">
        <v>30.3</v>
      </c>
      <c r="F30" s="319">
        <v>30.2</v>
      </c>
      <c r="G30" s="320">
        <v>30.4</v>
      </c>
      <c r="H30" s="313">
        <f t="shared" si="0"/>
        <v>921.12250000000006</v>
      </c>
      <c r="I30" s="321">
        <v>6.7</v>
      </c>
      <c r="J30" s="319">
        <v>6.69</v>
      </c>
      <c r="K30" s="319">
        <v>6.69</v>
      </c>
      <c r="L30" s="319">
        <v>6.67</v>
      </c>
      <c r="M30" s="315">
        <f t="shared" si="1"/>
        <v>6.6875</v>
      </c>
      <c r="N30" s="318">
        <v>20.02</v>
      </c>
      <c r="O30" s="319">
        <v>20</v>
      </c>
      <c r="P30" s="336">
        <f t="shared" si="2"/>
        <v>20.02</v>
      </c>
      <c r="Q30" s="510">
        <f t="shared" si="3"/>
        <v>314.47315900000001</v>
      </c>
      <c r="R30" s="319">
        <v>37.4</v>
      </c>
      <c r="S30" s="319">
        <v>36.200000000000003</v>
      </c>
      <c r="T30" s="336">
        <f t="shared" si="4"/>
        <v>1063.3339673</v>
      </c>
      <c r="U30" s="319">
        <v>37.700000000000003</v>
      </c>
      <c r="V30" s="320">
        <v>34.5</v>
      </c>
      <c r="W30" s="419">
        <f t="shared" si="5"/>
        <v>1021.5272583750001</v>
      </c>
      <c r="X30" s="423">
        <f t="shared" si="6"/>
        <v>1063.3339673</v>
      </c>
      <c r="Y30" s="322">
        <v>1.73</v>
      </c>
      <c r="Z30" s="319">
        <v>2.7</v>
      </c>
      <c r="AA30" s="319">
        <v>3.6</v>
      </c>
      <c r="AB30" s="319">
        <v>3.5</v>
      </c>
      <c r="AC30" s="524">
        <f t="shared" ref="AC30:AC38" si="9">IF(Y30="","",AVERAGE(Y30:AB30))</f>
        <v>2.8824999999999998</v>
      </c>
      <c r="AD30" s="319">
        <v>3.7</v>
      </c>
      <c r="AE30" s="319">
        <v>3</v>
      </c>
      <c r="AF30" s="319">
        <v>1.5</v>
      </c>
      <c r="AG30" s="319">
        <v>5</v>
      </c>
      <c r="AH30" s="549">
        <f t="shared" si="7"/>
        <v>3.3</v>
      </c>
      <c r="AI30" s="515">
        <f t="shared" si="8"/>
        <v>3.0912499999999996</v>
      </c>
    </row>
    <row r="31" spans="1:35">
      <c r="A31" s="317" t="str">
        <f>Data!A34</f>
        <v>HVIL001-UHMWPE-RT-AL-S10.0-0029</v>
      </c>
      <c r="B31" s="497" t="str">
        <f>Data!BC34</f>
        <v>Y</v>
      </c>
      <c r="C31" s="529">
        <f>Data!S34</f>
        <v>4937.7005385352468</v>
      </c>
      <c r="D31" s="318">
        <v>30.25</v>
      </c>
      <c r="E31" s="319">
        <v>30.45</v>
      </c>
      <c r="F31" s="319">
        <v>30.35</v>
      </c>
      <c r="G31" s="320">
        <v>30.3</v>
      </c>
      <c r="H31" s="313">
        <f t="shared" si="0"/>
        <v>920.36250000000007</v>
      </c>
      <c r="I31" s="321">
        <v>6.69</v>
      </c>
      <c r="J31" s="319">
        <v>6.7</v>
      </c>
      <c r="K31" s="319">
        <v>6.67</v>
      </c>
      <c r="L31" s="319">
        <v>6.68</v>
      </c>
      <c r="M31" s="315">
        <f t="shared" si="1"/>
        <v>6.6850000000000005</v>
      </c>
      <c r="N31" s="318">
        <v>20.399999999999999</v>
      </c>
      <c r="O31" s="319">
        <v>21.8</v>
      </c>
      <c r="P31" s="336">
        <f t="shared" si="2"/>
        <v>21.8</v>
      </c>
      <c r="Q31" s="510">
        <f t="shared" si="3"/>
        <v>349.28197619999992</v>
      </c>
      <c r="R31" s="319">
        <v>35.299999999999997</v>
      </c>
      <c r="S31" s="319">
        <v>37.6</v>
      </c>
      <c r="T31" s="336">
        <f t="shared" si="4"/>
        <v>1042.4423938</v>
      </c>
      <c r="U31" s="319">
        <v>33.5</v>
      </c>
      <c r="V31" s="320">
        <v>34.799999999999997</v>
      </c>
      <c r="W31" s="419">
        <f t="shared" si="5"/>
        <v>915.61640549999993</v>
      </c>
      <c r="X31" s="423">
        <f t="shared" si="6"/>
        <v>1042.4423938</v>
      </c>
      <c r="Y31" s="322">
        <v>3.6</v>
      </c>
      <c r="Z31" s="319">
        <v>3.9</v>
      </c>
      <c r="AA31" s="319">
        <v>5.3</v>
      </c>
      <c r="AB31" s="319">
        <v>4</v>
      </c>
      <c r="AC31" s="524">
        <f t="shared" si="9"/>
        <v>4.2</v>
      </c>
      <c r="AD31" s="319">
        <v>2.2999999999999998</v>
      </c>
      <c r="AE31" s="319">
        <v>1.2</v>
      </c>
      <c r="AF31" s="319">
        <v>4.4000000000000004</v>
      </c>
      <c r="AG31" s="319">
        <v>2.8</v>
      </c>
      <c r="AH31" s="549">
        <f t="shared" si="7"/>
        <v>2.6749999999999998</v>
      </c>
      <c r="AI31" s="515">
        <f t="shared" si="8"/>
        <v>3.4375</v>
      </c>
    </row>
    <row r="32" spans="1:35">
      <c r="A32" s="317" t="str">
        <f>Data!A35</f>
        <v>HVIL001-UHMWPE-RT-AL-S10.0-0030</v>
      </c>
      <c r="B32" s="497" t="str">
        <f>Data!BC35</f>
        <v>Y</v>
      </c>
      <c r="C32" s="529">
        <f>Data!S35</f>
        <v>3846.8608794559987</v>
      </c>
      <c r="D32" s="318">
        <v>31.1</v>
      </c>
      <c r="E32" s="319">
        <v>30.4</v>
      </c>
      <c r="F32" s="319">
        <v>30.7</v>
      </c>
      <c r="G32" s="320">
        <v>30.15</v>
      </c>
      <c r="H32" s="313">
        <f t="shared" si="0"/>
        <v>935.49749999999995</v>
      </c>
      <c r="I32" s="321">
        <v>6.71</v>
      </c>
      <c r="J32" s="319">
        <v>6.78</v>
      </c>
      <c r="K32" s="319">
        <v>6.69</v>
      </c>
      <c r="L32" s="319">
        <v>6.73</v>
      </c>
      <c r="M32" s="315">
        <f t="shared" si="1"/>
        <v>6.7275</v>
      </c>
      <c r="N32" s="318">
        <v>17.48</v>
      </c>
      <c r="O32" s="319">
        <v>18.63</v>
      </c>
      <c r="P32" s="336">
        <f t="shared" si="2"/>
        <v>18.63</v>
      </c>
      <c r="Q32" s="510">
        <f t="shared" si="3"/>
        <v>255.76658082899996</v>
      </c>
      <c r="R32" s="319">
        <v>32.299999999999997</v>
      </c>
      <c r="S32" s="319">
        <v>33.299999999999997</v>
      </c>
      <c r="T32" s="336">
        <f t="shared" si="4"/>
        <v>844.76569702499989</v>
      </c>
      <c r="U32" s="319">
        <v>34.4</v>
      </c>
      <c r="V32" s="320">
        <v>32.9</v>
      </c>
      <c r="W32" s="419">
        <f t="shared" si="5"/>
        <v>888.88147459999993</v>
      </c>
      <c r="X32" s="423">
        <f t="shared" si="6"/>
        <v>888.88147459999993</v>
      </c>
      <c r="Y32" s="322">
        <v>2.8</v>
      </c>
      <c r="Z32" s="319">
        <v>2.9</v>
      </c>
      <c r="AA32" s="319">
        <v>2.5</v>
      </c>
      <c r="AB32" s="319">
        <v>3.2</v>
      </c>
      <c r="AC32" s="524">
        <f t="shared" si="9"/>
        <v>2.8499999999999996</v>
      </c>
      <c r="AD32" s="319">
        <v>1</v>
      </c>
      <c r="AE32" s="319">
        <v>3.1</v>
      </c>
      <c r="AF32" s="319">
        <v>2.54</v>
      </c>
      <c r="AG32" s="319">
        <v>1.1000000000000001</v>
      </c>
      <c r="AH32" s="549">
        <f t="shared" si="7"/>
        <v>1.9350000000000001</v>
      </c>
      <c r="AI32" s="515">
        <f>IF(AH32="","",AVERAGE(AH32,AC32))</f>
        <v>2.3925000000000001</v>
      </c>
    </row>
    <row r="33" spans="1:37">
      <c r="A33" s="317" t="str">
        <f>Data!A36</f>
        <v>HVIL001-UHMWPE-RT-AL-S10.0-0031</v>
      </c>
      <c r="B33" s="497" t="str">
        <f>Data!BC36</f>
        <v>Y</v>
      </c>
      <c r="C33" s="529">
        <f>Data!S36</f>
        <v>4091.0324541331852</v>
      </c>
      <c r="D33" s="318">
        <v>31.6</v>
      </c>
      <c r="E33" s="319">
        <v>30.3</v>
      </c>
      <c r="F33" s="319">
        <v>31.1</v>
      </c>
      <c r="G33" s="320">
        <v>30.4</v>
      </c>
      <c r="H33" s="313">
        <f t="shared" si="0"/>
        <v>951.47250000000008</v>
      </c>
      <c r="I33" s="321">
        <v>6.69</v>
      </c>
      <c r="J33" s="319">
        <v>6.83</v>
      </c>
      <c r="K33" s="319">
        <v>6.7</v>
      </c>
      <c r="L33" s="319">
        <v>6.68</v>
      </c>
      <c r="M33" s="315">
        <f t="shared" si="1"/>
        <v>6.7249999999999996</v>
      </c>
      <c r="N33" s="318">
        <v>17.100000000000001</v>
      </c>
      <c r="O33" s="319">
        <v>18.399999999999999</v>
      </c>
      <c r="P33" s="336">
        <f t="shared" si="2"/>
        <v>18.399999999999999</v>
      </c>
      <c r="Q33" s="510">
        <f t="shared" si="3"/>
        <v>247.1174694</v>
      </c>
      <c r="R33" s="319">
        <v>34.1</v>
      </c>
      <c r="S33" s="319">
        <v>34</v>
      </c>
      <c r="T33" s="336">
        <f t="shared" si="4"/>
        <v>910.58986149999998</v>
      </c>
      <c r="U33" s="319">
        <v>33.380000000000003</v>
      </c>
      <c r="V33" s="320">
        <v>35.5</v>
      </c>
      <c r="W33" s="419">
        <f t="shared" si="5"/>
        <v>930.68818352500011</v>
      </c>
      <c r="X33" s="423">
        <f t="shared" si="6"/>
        <v>930.68818352500011</v>
      </c>
      <c r="Y33" s="322">
        <v>1.8</v>
      </c>
      <c r="Z33" s="319">
        <v>3.3</v>
      </c>
      <c r="AA33" s="319">
        <v>3</v>
      </c>
      <c r="AB33" s="319">
        <v>3.4</v>
      </c>
      <c r="AC33" s="524">
        <f t="shared" si="9"/>
        <v>2.875</v>
      </c>
      <c r="AD33" s="319">
        <v>3.96</v>
      </c>
      <c r="AE33" s="319">
        <v>2.42</v>
      </c>
      <c r="AF33" s="319">
        <v>1.5</v>
      </c>
      <c r="AG33" s="319">
        <v>1.6</v>
      </c>
      <c r="AH33" s="549">
        <f t="shared" si="7"/>
        <v>2.37</v>
      </c>
      <c r="AI33" s="515">
        <f t="shared" si="8"/>
        <v>2.6225000000000001</v>
      </c>
    </row>
    <row r="34" spans="1:37">
      <c r="A34" s="317" t="str">
        <f>Data!A37</f>
        <v>HVIL001-UHMWPE-RT-AL-S10.0-0032</v>
      </c>
      <c r="B34" s="497" t="str">
        <f>Data!BC37</f>
        <v>Y</v>
      </c>
      <c r="C34" s="529">
        <f>Data!S37</f>
        <v>5615.1510251019718</v>
      </c>
      <c r="D34" s="318">
        <v>30.3</v>
      </c>
      <c r="E34" s="319">
        <v>30.2</v>
      </c>
      <c r="F34" s="319">
        <v>30.5</v>
      </c>
      <c r="G34" s="320">
        <v>30.1</v>
      </c>
      <c r="H34" s="313">
        <f t="shared" si="0"/>
        <v>916.56</v>
      </c>
      <c r="I34" s="321">
        <v>6.66</v>
      </c>
      <c r="J34" s="319">
        <v>6.7</v>
      </c>
      <c r="K34" s="319">
        <v>6.66</v>
      </c>
      <c r="L34" s="319">
        <v>6.69</v>
      </c>
      <c r="M34" s="315">
        <f t="shared" si="1"/>
        <v>6.6775000000000002</v>
      </c>
      <c r="N34" s="318">
        <v>25.5</v>
      </c>
      <c r="O34" s="319">
        <v>27.4</v>
      </c>
      <c r="P34" s="336">
        <f t="shared" si="2"/>
        <v>27.4</v>
      </c>
      <c r="Q34" s="510">
        <f t="shared" si="3"/>
        <v>548.75723325000001</v>
      </c>
      <c r="R34" s="319">
        <v>41.1</v>
      </c>
      <c r="S34" s="319">
        <v>43.7</v>
      </c>
      <c r="T34" s="336">
        <f t="shared" si="4"/>
        <v>1410.628887825</v>
      </c>
      <c r="U34" s="319">
        <v>38.54</v>
      </c>
      <c r="V34" s="320">
        <v>41.8</v>
      </c>
      <c r="W34" s="419">
        <f t="shared" si="5"/>
        <v>1265.2533813699997</v>
      </c>
      <c r="X34" s="423">
        <f t="shared" si="6"/>
        <v>1410.628887825</v>
      </c>
      <c r="Y34" s="322">
        <v>3.7</v>
      </c>
      <c r="Z34" s="319">
        <v>3.9</v>
      </c>
      <c r="AA34" s="319">
        <v>4</v>
      </c>
      <c r="AB34" s="319">
        <v>2.7</v>
      </c>
      <c r="AC34" s="524">
        <f t="shared" si="9"/>
        <v>3.5750000000000002</v>
      </c>
      <c r="AD34" s="319">
        <v>3.15</v>
      </c>
      <c r="AE34" s="319">
        <v>1.4</v>
      </c>
      <c r="AF34" s="319">
        <v>1.5</v>
      </c>
      <c r="AG34" s="319">
        <v>1.7</v>
      </c>
      <c r="AH34" s="549">
        <f t="shared" si="7"/>
        <v>1.9375</v>
      </c>
      <c r="AI34" s="515">
        <f t="shared" si="8"/>
        <v>2.7562500000000001</v>
      </c>
    </row>
    <row r="35" spans="1:37">
      <c r="A35" s="317" t="str">
        <f>Data!A38</f>
        <v>HVIL001-UHMWPE-RT-AL-S10.0-0033</v>
      </c>
      <c r="B35" s="497" t="str">
        <f>Data!BC38</f>
        <v>Y</v>
      </c>
      <c r="C35" s="529">
        <f>Data!S38</f>
        <v>5359.3337719292995</v>
      </c>
      <c r="D35" s="318">
        <v>30.4</v>
      </c>
      <c r="E35" s="319">
        <v>30.8</v>
      </c>
      <c r="F35" s="319">
        <v>30.3</v>
      </c>
      <c r="G35" s="320">
        <v>31.2</v>
      </c>
      <c r="H35" s="313">
        <f t="shared" ref="H35:H66" si="10">IF(D35="","",AVERAGE(E35,G35)*AVERAGE(D35,F35))</f>
        <v>940.85</v>
      </c>
      <c r="I35" s="321">
        <v>6.67</v>
      </c>
      <c r="J35" s="319">
        <v>6.7</v>
      </c>
      <c r="K35" s="319">
        <v>6.83</v>
      </c>
      <c r="L35" s="319">
        <v>6.67</v>
      </c>
      <c r="M35" s="315">
        <f t="shared" ref="M35:M66" si="11">IF(I35="","",AVERAGE(I35:L35))</f>
        <v>6.7175000000000011</v>
      </c>
      <c r="N35" s="318">
        <v>21.9</v>
      </c>
      <c r="O35" s="319">
        <v>21.5</v>
      </c>
      <c r="P35" s="336">
        <f t="shared" si="2"/>
        <v>21.9</v>
      </c>
      <c r="Q35" s="510">
        <f t="shared" si="3"/>
        <v>369.80441287499997</v>
      </c>
      <c r="R35" s="319">
        <v>40.4</v>
      </c>
      <c r="S35" s="319">
        <v>39.9</v>
      </c>
      <c r="T35" s="336">
        <f t="shared" si="4"/>
        <v>1266.0293540999999</v>
      </c>
      <c r="U35" s="319">
        <v>38.14</v>
      </c>
      <c r="V35" s="320">
        <v>38.6</v>
      </c>
      <c r="W35" s="419">
        <f t="shared" si="5"/>
        <v>1156.26534109</v>
      </c>
      <c r="X35" s="423">
        <f t="shared" si="6"/>
        <v>1266.0293540999999</v>
      </c>
      <c r="Y35" s="322">
        <v>3</v>
      </c>
      <c r="Z35" s="319">
        <v>7.39</v>
      </c>
      <c r="AA35" s="319">
        <v>4.74</v>
      </c>
      <c r="AB35" s="319">
        <v>3.78</v>
      </c>
      <c r="AC35" s="524">
        <f t="shared" si="9"/>
        <v>4.7275</v>
      </c>
      <c r="AD35" s="319">
        <v>2.1</v>
      </c>
      <c r="AE35" s="319">
        <v>2.7</v>
      </c>
      <c r="AF35" s="319">
        <v>2.1</v>
      </c>
      <c r="AG35" s="319">
        <v>2.2000000000000002</v>
      </c>
      <c r="AH35" s="549">
        <f t="shared" ref="AH35:AH98" si="12">IF(AD35="","",AVERAGE(AD35:AG35))</f>
        <v>2.2750000000000004</v>
      </c>
      <c r="AI35" s="515">
        <f t="shared" si="8"/>
        <v>3.5012500000000002</v>
      </c>
    </row>
    <row r="36" spans="1:37">
      <c r="A36" s="317" t="str">
        <f>Data!A39</f>
        <v>HVIL001-HDPE-RT-AL-S10.0-0034</v>
      </c>
      <c r="B36" s="497" t="str">
        <f>Data!BC39</f>
        <v>Y</v>
      </c>
      <c r="C36" s="529">
        <f>Data!S39</f>
        <v>4956.4216538924811</v>
      </c>
      <c r="D36" s="318">
        <v>30.4</v>
      </c>
      <c r="E36" s="319">
        <v>30.5</v>
      </c>
      <c r="F36" s="319">
        <v>30.3</v>
      </c>
      <c r="G36" s="320">
        <v>30.5</v>
      </c>
      <c r="H36" s="313">
        <f t="shared" si="10"/>
        <v>925.67500000000007</v>
      </c>
      <c r="I36" s="321">
        <v>6.37</v>
      </c>
      <c r="J36" s="319">
        <v>6.37</v>
      </c>
      <c r="K36" s="319">
        <v>6.35</v>
      </c>
      <c r="L36" s="319">
        <v>6.36</v>
      </c>
      <c r="M36" s="315">
        <f t="shared" si="11"/>
        <v>6.3624999999999998</v>
      </c>
      <c r="N36" s="318">
        <v>29.98</v>
      </c>
      <c r="O36" s="319">
        <v>29.49</v>
      </c>
      <c r="P36" s="336">
        <f t="shared" si="2"/>
        <v>29.98</v>
      </c>
      <c r="Q36" s="510">
        <f t="shared" si="3"/>
        <v>694.37794080449999</v>
      </c>
      <c r="R36" s="319">
        <v>37.159999999999997</v>
      </c>
      <c r="S36" s="319">
        <v>37.380000000000003</v>
      </c>
      <c r="T36" s="336">
        <f t="shared" si="4"/>
        <v>1090.9491717179999</v>
      </c>
      <c r="U36" s="319">
        <v>37.99</v>
      </c>
      <c r="V36" s="320">
        <v>37.42</v>
      </c>
      <c r="W36" s="419">
        <f t="shared" si="5"/>
        <v>1116.5099333555002</v>
      </c>
      <c r="X36" s="423">
        <f t="shared" si="6"/>
        <v>1116.5099333555002</v>
      </c>
      <c r="Y36" s="322">
        <v>11.37</v>
      </c>
      <c r="Z36" s="319">
        <v>7.75</v>
      </c>
      <c r="AA36" s="319">
        <v>5.93</v>
      </c>
      <c r="AB36" s="319">
        <v>4.6500000000000004</v>
      </c>
      <c r="AC36" s="524">
        <f t="shared" si="9"/>
        <v>7.4249999999999989</v>
      </c>
      <c r="AD36" s="319">
        <v>3.94</v>
      </c>
      <c r="AE36" s="319">
        <v>4.87</v>
      </c>
      <c r="AF36" s="319">
        <v>3.93</v>
      </c>
      <c r="AG36" s="319">
        <v>4.59</v>
      </c>
      <c r="AH36" s="549">
        <f t="shared" si="12"/>
        <v>4.3324999999999996</v>
      </c>
      <c r="AI36" s="515">
        <f t="shared" si="8"/>
        <v>5.8787499999999993</v>
      </c>
    </row>
    <row r="37" spans="1:37">
      <c r="A37" s="317" t="str">
        <f>Data!A40</f>
        <v>HVIL001-UHMWPE-RT-ST-S04.0-0035</v>
      </c>
      <c r="B37" s="497" t="str">
        <f>Data!BC40</f>
        <v>Y</v>
      </c>
      <c r="C37" s="529">
        <f>Data!S40</f>
        <v>4486.3310912943552</v>
      </c>
      <c r="D37" s="318">
        <v>30.5</v>
      </c>
      <c r="E37" s="319">
        <v>30.6</v>
      </c>
      <c r="F37" s="319">
        <v>30.7</v>
      </c>
      <c r="G37" s="320">
        <v>30.4</v>
      </c>
      <c r="H37" s="313">
        <f t="shared" si="10"/>
        <v>933.30000000000007</v>
      </c>
      <c r="I37" s="321">
        <v>6.75</v>
      </c>
      <c r="J37" s="319">
        <v>6.69</v>
      </c>
      <c r="K37" s="319">
        <v>6.67</v>
      </c>
      <c r="L37" s="319">
        <v>6.7</v>
      </c>
      <c r="M37" s="315">
        <f t="shared" si="11"/>
        <v>6.7024999999999997</v>
      </c>
      <c r="N37" s="318">
        <v>6.89</v>
      </c>
      <c r="O37" s="319">
        <v>7.29</v>
      </c>
      <c r="P37" s="336">
        <f t="shared" si="2"/>
        <v>7.29</v>
      </c>
      <c r="Q37" s="510">
        <f t="shared" si="3"/>
        <v>39.449024169749997</v>
      </c>
      <c r="R37" s="319">
        <v>20.59</v>
      </c>
      <c r="S37" s="319">
        <v>21.22</v>
      </c>
      <c r="T37" s="336">
        <f t="shared" si="4"/>
        <v>343.15571862049995</v>
      </c>
      <c r="U37" s="319">
        <v>17.72</v>
      </c>
      <c r="V37" s="320">
        <v>18.12</v>
      </c>
      <c r="W37" s="419">
        <f t="shared" si="5"/>
        <v>252.18045584399999</v>
      </c>
      <c r="X37" s="423">
        <f t="shared" si="6"/>
        <v>343.15571862049995</v>
      </c>
      <c r="Y37" s="322">
        <v>2.76</v>
      </c>
      <c r="Z37" s="319">
        <v>3.18</v>
      </c>
      <c r="AA37" s="319">
        <v>2.72</v>
      </c>
      <c r="AB37" s="319">
        <v>2.91</v>
      </c>
      <c r="AC37" s="524">
        <f t="shared" si="9"/>
        <v>2.8925000000000001</v>
      </c>
      <c r="AD37" s="319">
        <v>2.34</v>
      </c>
      <c r="AE37" s="319">
        <v>2.92</v>
      </c>
      <c r="AF37" s="319">
        <v>2.95</v>
      </c>
      <c r="AG37" s="319">
        <v>3.23</v>
      </c>
      <c r="AH37" s="549">
        <f t="shared" si="12"/>
        <v>2.8600000000000003</v>
      </c>
      <c r="AI37" s="515">
        <f t="shared" si="8"/>
        <v>2.8762500000000002</v>
      </c>
    </row>
    <row r="38" spans="1:37">
      <c r="A38" s="317" t="str">
        <f>Data!A41</f>
        <v>HVIL001-UHMWPE-RT-AL-S10.0-0036</v>
      </c>
      <c r="B38" s="497" t="str">
        <f>Data!BC41</f>
        <v>Y</v>
      </c>
      <c r="C38" s="529">
        <f>Data!S41</f>
        <v>5253.377212341612</v>
      </c>
      <c r="D38" s="318">
        <v>30.3</v>
      </c>
      <c r="E38" s="319">
        <v>30.5</v>
      </c>
      <c r="F38" s="319">
        <v>30.4</v>
      </c>
      <c r="G38" s="320">
        <v>30.3</v>
      </c>
      <c r="H38" s="313">
        <f t="shared" si="10"/>
        <v>922.64</v>
      </c>
      <c r="I38" s="321">
        <v>6.74</v>
      </c>
      <c r="J38" s="319">
        <v>6.72</v>
      </c>
      <c r="K38" s="319">
        <v>6.71</v>
      </c>
      <c r="L38" s="319">
        <v>6.68</v>
      </c>
      <c r="M38" s="315">
        <f t="shared" si="11"/>
        <v>6.7125000000000004</v>
      </c>
      <c r="N38" s="318">
        <v>24.73</v>
      </c>
      <c r="O38" s="329">
        <v>23.6</v>
      </c>
      <c r="P38" s="418">
        <f t="shared" si="2"/>
        <v>24.73</v>
      </c>
      <c r="Q38" s="513">
        <f t="shared" si="3"/>
        <v>458.37997213</v>
      </c>
      <c r="R38" s="329">
        <v>38.32</v>
      </c>
      <c r="S38" s="329">
        <v>39.270000000000003</v>
      </c>
      <c r="T38" s="418">
        <f t="shared" si="4"/>
        <v>1181.886892494</v>
      </c>
      <c r="U38" s="329">
        <v>38.78</v>
      </c>
      <c r="V38" s="320">
        <v>37.74</v>
      </c>
      <c r="W38" s="419">
        <f t="shared" si="5"/>
        <v>1149.4741659870001</v>
      </c>
      <c r="X38" s="423">
        <f t="shared" si="6"/>
        <v>1181.886892494</v>
      </c>
      <c r="Y38" s="322">
        <v>3.29</v>
      </c>
      <c r="Z38" s="319">
        <v>2.97</v>
      </c>
      <c r="AA38" s="319">
        <v>4.74</v>
      </c>
      <c r="AB38" s="319">
        <v>2.77</v>
      </c>
      <c r="AC38" s="524">
        <f t="shared" si="9"/>
        <v>3.4424999999999999</v>
      </c>
      <c r="AD38" s="319">
        <v>1.76</v>
      </c>
      <c r="AE38" s="319">
        <v>1.1299999999999999</v>
      </c>
      <c r="AF38" s="319">
        <v>2.15</v>
      </c>
      <c r="AG38" s="319">
        <v>1.1399999999999999</v>
      </c>
      <c r="AH38" s="549">
        <f t="shared" si="12"/>
        <v>1.5449999999999997</v>
      </c>
      <c r="AI38" s="515">
        <f t="shared" si="8"/>
        <v>2.4937499999999999</v>
      </c>
    </row>
    <row r="39" spans="1:37">
      <c r="A39" s="317" t="str">
        <f>Data!A42</f>
        <v>HVIL001-UHMWPE-RT-AL-S10.0-0037</v>
      </c>
      <c r="B39" s="497" t="str">
        <f>Data!BC42</f>
        <v>N</v>
      </c>
      <c r="C39" s="529">
        <f>Data!S42</f>
        <v>6035.1664319858664</v>
      </c>
      <c r="D39" s="318" t="s">
        <v>68</v>
      </c>
      <c r="E39" s="319" t="s">
        <v>68</v>
      </c>
      <c r="F39" s="319" t="s">
        <v>68</v>
      </c>
      <c r="G39" s="320" t="s">
        <v>68</v>
      </c>
      <c r="H39" s="313" t="s">
        <v>68</v>
      </c>
      <c r="I39" s="321" t="s">
        <v>68</v>
      </c>
      <c r="J39" s="319" t="s">
        <v>68</v>
      </c>
      <c r="K39" s="319" t="s">
        <v>68</v>
      </c>
      <c r="L39" s="319" t="s">
        <v>68</v>
      </c>
      <c r="M39" s="315" t="s">
        <v>68</v>
      </c>
      <c r="N39" s="332" t="s">
        <v>68</v>
      </c>
      <c r="O39" s="319" t="s">
        <v>68</v>
      </c>
      <c r="P39" s="319" t="s">
        <v>68</v>
      </c>
      <c r="Q39" s="512" t="s">
        <v>68</v>
      </c>
      <c r="R39" s="319" t="s">
        <v>68</v>
      </c>
      <c r="S39" s="319" t="s">
        <v>68</v>
      </c>
      <c r="T39" s="319" t="s">
        <v>68</v>
      </c>
      <c r="U39" s="319" t="s">
        <v>68</v>
      </c>
      <c r="V39" s="319" t="s">
        <v>68</v>
      </c>
      <c r="W39" s="319" t="s">
        <v>68</v>
      </c>
      <c r="X39" s="319" t="s">
        <v>68</v>
      </c>
      <c r="Y39" s="322" t="s">
        <v>68</v>
      </c>
      <c r="Z39" s="319" t="s">
        <v>68</v>
      </c>
      <c r="AA39" s="319" t="s">
        <v>68</v>
      </c>
      <c r="AB39" s="319" t="s">
        <v>68</v>
      </c>
      <c r="AC39" s="512" t="s">
        <v>68</v>
      </c>
      <c r="AD39" s="319" t="s">
        <v>68</v>
      </c>
      <c r="AE39" s="319" t="s">
        <v>68</v>
      </c>
      <c r="AF39" s="319" t="s">
        <v>68</v>
      </c>
      <c r="AG39" s="319" t="s">
        <v>68</v>
      </c>
      <c r="AH39" s="512" t="s">
        <v>68</v>
      </c>
      <c r="AI39" s="319" t="s">
        <v>68</v>
      </c>
    </row>
    <row r="40" spans="1:37">
      <c r="A40" s="317" t="str">
        <f>Data!A43</f>
        <v>HVIL001-UHMWPE-RT-AL-S10.0-0038</v>
      </c>
      <c r="B40" s="497" t="str">
        <f>Data!BC43</f>
        <v>Y</v>
      </c>
      <c r="C40" s="529">
        <f>Data!S43</f>
        <v>5612.21250365776</v>
      </c>
      <c r="D40" s="318">
        <v>30.35</v>
      </c>
      <c r="E40" s="319">
        <v>30.2</v>
      </c>
      <c r="F40" s="319">
        <v>30.7</v>
      </c>
      <c r="G40" s="320">
        <v>30.4</v>
      </c>
      <c r="H40" s="313">
        <f t="shared" si="10"/>
        <v>924.90749999999991</v>
      </c>
      <c r="I40" s="321">
        <v>6.66</v>
      </c>
      <c r="J40" s="319">
        <v>6.83</v>
      </c>
      <c r="K40" s="319">
        <v>6.69</v>
      </c>
      <c r="L40" s="319">
        <v>6.72</v>
      </c>
      <c r="M40" s="315">
        <f t="shared" si="11"/>
        <v>6.7249999999999996</v>
      </c>
      <c r="N40" s="318">
        <v>23.97</v>
      </c>
      <c r="O40" s="311">
        <v>23.94</v>
      </c>
      <c r="P40" s="336">
        <f>IF(N40="","",IF(N40&gt;O40,N40,O40))</f>
        <v>23.97</v>
      </c>
      <c r="Q40" s="510">
        <f>IF(N40="","",3.14159*(N40/2)*(O40/2))</f>
        <v>450.69391511549998</v>
      </c>
      <c r="R40" s="311">
        <v>40.28</v>
      </c>
      <c r="S40" s="311">
        <v>40.19</v>
      </c>
      <c r="T40" s="336">
        <f>IF(R40="","",3.14159*(R40/2)*(S40/2))</f>
        <v>1271.4432561469998</v>
      </c>
      <c r="U40" s="311">
        <v>39.229999999999997</v>
      </c>
      <c r="V40" s="320">
        <v>39.479999999999997</v>
      </c>
      <c r="W40" s="419">
        <f>IF(R40="","",3.14159*(U40/2)*(V40/2))</f>
        <v>1216.4239621589998</v>
      </c>
      <c r="X40" s="423">
        <f>IF(W40="","",IF(W40&gt;T40,W40,T40))</f>
        <v>1271.4432561469998</v>
      </c>
      <c r="Y40" s="322">
        <v>2</v>
      </c>
      <c r="Z40" s="319">
        <v>5</v>
      </c>
      <c r="AA40" s="319">
        <v>5</v>
      </c>
      <c r="AB40" s="319">
        <v>5</v>
      </c>
      <c r="AC40" s="524">
        <f>IF(Y40="","",AVERAGE(Y40:AB40))</f>
        <v>4.25</v>
      </c>
      <c r="AD40" s="319">
        <v>2</v>
      </c>
      <c r="AE40" s="319">
        <v>3</v>
      </c>
      <c r="AF40" s="319">
        <v>2</v>
      </c>
      <c r="AG40" s="319">
        <v>2.2000000000000002</v>
      </c>
      <c r="AH40" s="549">
        <f t="shared" si="12"/>
        <v>2.2999999999999998</v>
      </c>
      <c r="AI40" s="515">
        <f t="shared" si="8"/>
        <v>3.2749999999999999</v>
      </c>
    </row>
    <row r="41" spans="1:37">
      <c r="A41" s="317" t="str">
        <f>Data!A44</f>
        <v>HVIL001-UHMWPE-RT-AL-S10.0-0039</v>
      </c>
      <c r="B41" s="497" t="str">
        <f>Data!BC44</f>
        <v>N</v>
      </c>
      <c r="C41" s="529">
        <f>Data!S44</f>
        <v>5378.6938426487859</v>
      </c>
      <c r="D41" s="318" t="s">
        <v>68</v>
      </c>
      <c r="E41" s="319" t="s">
        <v>68</v>
      </c>
      <c r="F41" s="319" t="s">
        <v>68</v>
      </c>
      <c r="G41" s="320" t="s">
        <v>68</v>
      </c>
      <c r="H41" s="313" t="s">
        <v>68</v>
      </c>
      <c r="I41" s="321" t="s">
        <v>68</v>
      </c>
      <c r="J41" s="319" t="s">
        <v>68</v>
      </c>
      <c r="K41" s="319" t="s">
        <v>68</v>
      </c>
      <c r="L41" s="319" t="s">
        <v>68</v>
      </c>
      <c r="M41" s="315" t="s">
        <v>68</v>
      </c>
      <c r="N41" s="332" t="s">
        <v>68</v>
      </c>
      <c r="O41" s="319" t="s">
        <v>68</v>
      </c>
      <c r="P41" s="319" t="s">
        <v>68</v>
      </c>
      <c r="Q41" s="512" t="s">
        <v>68</v>
      </c>
      <c r="R41" s="319" t="s">
        <v>68</v>
      </c>
      <c r="S41" s="319" t="s">
        <v>68</v>
      </c>
      <c r="T41" s="319" t="s">
        <v>68</v>
      </c>
      <c r="U41" s="319" t="s">
        <v>68</v>
      </c>
      <c r="V41" s="319" t="s">
        <v>68</v>
      </c>
      <c r="W41" s="319" t="s">
        <v>68</v>
      </c>
      <c r="X41" s="319" t="s">
        <v>68</v>
      </c>
      <c r="Y41" s="322" t="s">
        <v>68</v>
      </c>
      <c r="Z41" s="319" t="s">
        <v>68</v>
      </c>
      <c r="AA41" s="319" t="s">
        <v>68</v>
      </c>
      <c r="AB41" s="319" t="s">
        <v>68</v>
      </c>
      <c r="AC41" s="512" t="s">
        <v>68</v>
      </c>
      <c r="AD41" s="319" t="s">
        <v>68</v>
      </c>
      <c r="AE41" s="319" t="s">
        <v>68</v>
      </c>
      <c r="AF41" s="319" t="s">
        <v>68</v>
      </c>
      <c r="AG41" s="319" t="s">
        <v>68</v>
      </c>
      <c r="AH41" s="512" t="s">
        <v>68</v>
      </c>
      <c r="AI41" s="319" t="s">
        <v>68</v>
      </c>
    </row>
    <row r="42" spans="1:37">
      <c r="A42" s="317" t="str">
        <f>Data!A45</f>
        <v>HVIL001-HDPE-RT-ST-S10.0-0040</v>
      </c>
      <c r="B42" s="497" t="str">
        <f>Data!BC45</f>
        <v>Y</v>
      </c>
      <c r="C42" s="529">
        <f>Data!S45</f>
        <v>4215.201491900315</v>
      </c>
      <c r="D42" s="318">
        <v>30.5</v>
      </c>
      <c r="E42" s="319">
        <v>30.6</v>
      </c>
      <c r="F42" s="319">
        <v>30.4</v>
      </c>
      <c r="G42" s="320">
        <v>30.55</v>
      </c>
      <c r="H42" s="313">
        <f t="shared" si="10"/>
        <v>931.00875000000008</v>
      </c>
      <c r="I42" s="321">
        <v>6.36</v>
      </c>
      <c r="J42" s="319">
        <v>6.32</v>
      </c>
      <c r="K42" s="319">
        <v>6.3</v>
      </c>
      <c r="L42" s="319">
        <v>6.32</v>
      </c>
      <c r="M42" s="315">
        <f t="shared" si="11"/>
        <v>6.3250000000000002</v>
      </c>
      <c r="N42" s="318">
        <v>24.85</v>
      </c>
      <c r="O42" s="319">
        <v>24.78</v>
      </c>
      <c r="P42" s="336">
        <f t="shared" si="2"/>
        <v>24.85</v>
      </c>
      <c r="Q42" s="510">
        <f t="shared" si="3"/>
        <v>483.63442874250001</v>
      </c>
      <c r="R42" s="319">
        <v>37.25</v>
      </c>
      <c r="S42" s="319">
        <v>35.799999999999997</v>
      </c>
      <c r="T42" s="336">
        <f t="shared" si="4"/>
        <v>1047.366836125</v>
      </c>
      <c r="U42" s="319">
        <v>35.24</v>
      </c>
      <c r="V42" s="320">
        <v>36.43</v>
      </c>
      <c r="W42" s="419">
        <f t="shared" si="5"/>
        <v>1008.2879697970001</v>
      </c>
      <c r="X42" s="423">
        <f t="shared" si="6"/>
        <v>1047.366836125</v>
      </c>
      <c r="Y42" s="322">
        <v>6.9</v>
      </c>
      <c r="Z42" s="319">
        <v>9</v>
      </c>
      <c r="AA42" s="319">
        <v>8</v>
      </c>
      <c r="AB42" s="319">
        <v>7</v>
      </c>
      <c r="AC42" s="524">
        <f>IF(Y42="","",AVERAGE(Y42:AB42))</f>
        <v>7.7249999999999996</v>
      </c>
      <c r="AD42" s="319">
        <v>4.7</v>
      </c>
      <c r="AE42" s="319">
        <v>5.2</v>
      </c>
      <c r="AF42" s="319">
        <v>5</v>
      </c>
      <c r="AG42" s="319">
        <v>5.9</v>
      </c>
      <c r="AH42" s="549">
        <f t="shared" si="12"/>
        <v>5.2</v>
      </c>
      <c r="AI42" s="515">
        <f t="shared" si="8"/>
        <v>6.4625000000000004</v>
      </c>
    </row>
    <row r="43" spans="1:37">
      <c r="A43" s="317" t="str">
        <f>Data!A46</f>
        <v>HVIL001-HDPE-RT-AL-S10.0-0041</v>
      </c>
      <c r="B43" s="497" t="str">
        <f>Data!BC46</f>
        <v>Y</v>
      </c>
      <c r="C43" s="529">
        <f>Data!S46</f>
        <v>3487.726660816199</v>
      </c>
      <c r="D43" s="318">
        <v>30.15</v>
      </c>
      <c r="E43" s="319">
        <v>30.35</v>
      </c>
      <c r="F43" s="319">
        <v>30.32</v>
      </c>
      <c r="G43" s="320">
        <v>30.4</v>
      </c>
      <c r="H43" s="313">
        <f t="shared" si="10"/>
        <v>918.38812499999995</v>
      </c>
      <c r="I43" s="321">
        <v>6.34</v>
      </c>
      <c r="J43" s="319">
        <v>6.32</v>
      </c>
      <c r="K43" s="319">
        <v>6.32</v>
      </c>
      <c r="L43" s="319">
        <v>6.3</v>
      </c>
      <c r="M43" s="315">
        <f t="shared" si="11"/>
        <v>6.32</v>
      </c>
      <c r="N43" s="318">
        <v>24.86</v>
      </c>
      <c r="O43" s="319">
        <v>25.34</v>
      </c>
      <c r="P43" s="336">
        <f t="shared" si="2"/>
        <v>25.34</v>
      </c>
      <c r="Q43" s="510">
        <f t="shared" si="3"/>
        <v>494.76304007900001</v>
      </c>
      <c r="R43" s="319">
        <v>36.33</v>
      </c>
      <c r="S43" s="319">
        <v>36.979999999999997</v>
      </c>
      <c r="T43" s="336">
        <f t="shared" si="4"/>
        <v>1055.1685036514998</v>
      </c>
      <c r="U43" s="319">
        <v>39.299999999999997</v>
      </c>
      <c r="V43" s="320">
        <v>39.9</v>
      </c>
      <c r="W43" s="419">
        <f t="shared" si="5"/>
        <v>1231.5582578249998</v>
      </c>
      <c r="X43" s="423">
        <f t="shared" si="6"/>
        <v>1231.5582578249998</v>
      </c>
      <c r="Y43" s="322">
        <v>5.49</v>
      </c>
      <c r="Z43" s="319">
        <v>6.1</v>
      </c>
      <c r="AA43" s="319">
        <v>5.98</v>
      </c>
      <c r="AB43" s="319">
        <v>4.5199999999999996</v>
      </c>
      <c r="AC43" s="524">
        <f>IF(Y43="","",AVERAGE(Y43:AB43))</f>
        <v>5.5225</v>
      </c>
      <c r="AD43" s="319">
        <v>4.2699999999999996</v>
      </c>
      <c r="AE43" s="319">
        <v>4.0599999999999996</v>
      </c>
      <c r="AF43" s="319">
        <v>4.17</v>
      </c>
      <c r="AG43" s="319">
        <v>4.32</v>
      </c>
      <c r="AH43" s="549">
        <f t="shared" si="12"/>
        <v>4.2050000000000001</v>
      </c>
      <c r="AI43" s="515">
        <f t="shared" si="8"/>
        <v>4.8637499999999996</v>
      </c>
    </row>
    <row r="44" spans="1:37">
      <c r="A44" s="317" t="str">
        <f>Data!A47</f>
        <v>HVIL002-HPC-RT-S2-S10.0-0042</v>
      </c>
      <c r="B44" s="497" t="str">
        <f>Data!BC47</f>
        <v>Y</v>
      </c>
      <c r="C44" s="529">
        <f>Data!S47</f>
        <v>4323.6919278992091</v>
      </c>
      <c r="D44" s="318" t="s">
        <v>68</v>
      </c>
      <c r="E44" s="319" t="s">
        <v>68</v>
      </c>
      <c r="F44" s="319" t="s">
        <v>68</v>
      </c>
      <c r="G44" s="320" t="s">
        <v>68</v>
      </c>
      <c r="H44" s="313" t="s">
        <v>68</v>
      </c>
      <c r="I44" s="321" t="s">
        <v>68</v>
      </c>
      <c r="J44" s="319" t="s">
        <v>68</v>
      </c>
      <c r="K44" s="319" t="s">
        <v>68</v>
      </c>
      <c r="L44" s="319" t="s">
        <v>68</v>
      </c>
      <c r="M44" s="315" t="s">
        <v>68</v>
      </c>
      <c r="N44" s="332" t="s">
        <v>68</v>
      </c>
      <c r="O44" s="319" t="s">
        <v>68</v>
      </c>
      <c r="P44" s="319" t="s">
        <v>68</v>
      </c>
      <c r="Q44" s="512" t="s">
        <v>68</v>
      </c>
      <c r="R44" s="319" t="s">
        <v>68</v>
      </c>
      <c r="S44" s="319" t="s">
        <v>68</v>
      </c>
      <c r="T44" s="319" t="s">
        <v>68</v>
      </c>
      <c r="U44" s="319" t="s">
        <v>68</v>
      </c>
      <c r="V44" s="319" t="s">
        <v>68</v>
      </c>
      <c r="W44" s="319" t="s">
        <v>68</v>
      </c>
      <c r="X44" s="319" t="s">
        <v>68</v>
      </c>
      <c r="Y44" s="322" t="s">
        <v>68</v>
      </c>
      <c r="Z44" s="319" t="s">
        <v>68</v>
      </c>
      <c r="AA44" s="319" t="s">
        <v>68</v>
      </c>
      <c r="AB44" s="319" t="s">
        <v>68</v>
      </c>
      <c r="AC44" s="512" t="s">
        <v>68</v>
      </c>
      <c r="AD44" s="319" t="s">
        <v>68</v>
      </c>
      <c r="AE44" s="319" t="s">
        <v>68</v>
      </c>
      <c r="AF44" s="319" t="s">
        <v>68</v>
      </c>
      <c r="AG44" s="319" t="s">
        <v>68</v>
      </c>
      <c r="AH44" s="512" t="s">
        <v>68</v>
      </c>
      <c r="AI44" s="319" t="s">
        <v>68</v>
      </c>
      <c r="AK44" s="15" t="s">
        <v>394</v>
      </c>
    </row>
    <row r="45" spans="1:37">
      <c r="A45" s="317" t="str">
        <f>Data!A48</f>
        <v>HVIL002-HPC-RT-S2-S10.0-0043</v>
      </c>
      <c r="B45" s="497" t="str">
        <f>Data!BC48</f>
        <v>Y</v>
      </c>
      <c r="C45" s="529">
        <f>Data!S48</f>
        <v>4412.5516325536473</v>
      </c>
      <c r="D45" s="318" t="s">
        <v>68</v>
      </c>
      <c r="E45" s="319" t="s">
        <v>68</v>
      </c>
      <c r="F45" s="319" t="s">
        <v>68</v>
      </c>
      <c r="G45" s="320" t="s">
        <v>68</v>
      </c>
      <c r="H45" s="313" t="s">
        <v>68</v>
      </c>
      <c r="I45" s="321" t="s">
        <v>68</v>
      </c>
      <c r="J45" s="319" t="s">
        <v>68</v>
      </c>
      <c r="K45" s="319" t="s">
        <v>68</v>
      </c>
      <c r="L45" s="319" t="s">
        <v>68</v>
      </c>
      <c r="M45" s="315" t="s">
        <v>68</v>
      </c>
      <c r="N45" s="332" t="s">
        <v>68</v>
      </c>
      <c r="O45" s="319" t="s">
        <v>68</v>
      </c>
      <c r="P45" s="319" t="s">
        <v>68</v>
      </c>
      <c r="Q45" s="512" t="s">
        <v>68</v>
      </c>
      <c r="R45" s="319" t="s">
        <v>68</v>
      </c>
      <c r="S45" s="319" t="s">
        <v>68</v>
      </c>
      <c r="T45" s="319" t="s">
        <v>68</v>
      </c>
      <c r="U45" s="319" t="s">
        <v>68</v>
      </c>
      <c r="V45" s="319" t="s">
        <v>68</v>
      </c>
      <c r="W45" s="319" t="s">
        <v>68</v>
      </c>
      <c r="X45" s="319" t="s">
        <v>68</v>
      </c>
      <c r="Y45" s="322" t="s">
        <v>68</v>
      </c>
      <c r="Z45" s="319" t="s">
        <v>68</v>
      </c>
      <c r="AA45" s="319" t="s">
        <v>68</v>
      </c>
      <c r="AB45" s="319" t="s">
        <v>68</v>
      </c>
      <c r="AC45" s="512" t="s">
        <v>68</v>
      </c>
      <c r="AD45" s="319" t="s">
        <v>68</v>
      </c>
      <c r="AE45" s="319" t="s">
        <v>68</v>
      </c>
      <c r="AF45" s="319" t="s">
        <v>68</v>
      </c>
      <c r="AG45" s="319" t="s">
        <v>68</v>
      </c>
      <c r="AH45" s="512" t="s">
        <v>68</v>
      </c>
      <c r="AI45" s="319" t="s">
        <v>68</v>
      </c>
      <c r="AK45" s="15" t="s">
        <v>394</v>
      </c>
    </row>
    <row r="46" spans="1:37">
      <c r="A46" s="317" t="str">
        <f>Data!A49</f>
        <v>HVIL003-PMMA-RT-AL-S04.0-0044</v>
      </c>
      <c r="B46" s="497" t="str">
        <f>Data!BC49</f>
        <v>Y</v>
      </c>
      <c r="C46" s="529">
        <f>Data!S49</f>
        <v>5946.4349893309063</v>
      </c>
      <c r="D46" s="318">
        <v>30</v>
      </c>
      <c r="E46" s="319">
        <v>30</v>
      </c>
      <c r="F46" s="319">
        <v>30</v>
      </c>
      <c r="G46" s="320">
        <v>30</v>
      </c>
      <c r="H46" s="313">
        <f t="shared" si="10"/>
        <v>900</v>
      </c>
      <c r="I46" s="321">
        <v>1.67</v>
      </c>
      <c r="J46" s="319">
        <v>1.63</v>
      </c>
      <c r="K46" s="319">
        <v>1.61</v>
      </c>
      <c r="L46" s="319">
        <v>1.63</v>
      </c>
      <c r="M46" s="315">
        <f t="shared" si="11"/>
        <v>1.635</v>
      </c>
      <c r="N46" s="318">
        <v>7.09</v>
      </c>
      <c r="O46" s="319">
        <v>7.2</v>
      </c>
      <c r="P46" s="336">
        <f t="shared" si="2"/>
        <v>7.2</v>
      </c>
      <c r="Q46" s="510">
        <f t="shared" si="3"/>
        <v>40.092971579999997</v>
      </c>
      <c r="R46" s="319">
        <v>14.1</v>
      </c>
      <c r="S46" s="319">
        <v>13.85</v>
      </c>
      <c r="T46" s="336">
        <f t="shared" si="4"/>
        <v>153.3763507875</v>
      </c>
      <c r="U46" s="319">
        <v>14.1</v>
      </c>
      <c r="V46" s="320">
        <v>13.85</v>
      </c>
      <c r="W46" s="419">
        <f t="shared" si="5"/>
        <v>153.3763507875</v>
      </c>
      <c r="X46" s="423">
        <f t="shared" si="6"/>
        <v>153.3763507875</v>
      </c>
      <c r="Y46" s="322" t="s">
        <v>68</v>
      </c>
      <c r="Z46" s="319" t="s">
        <v>68</v>
      </c>
      <c r="AA46" s="319" t="s">
        <v>68</v>
      </c>
      <c r="AB46" s="319" t="s">
        <v>68</v>
      </c>
      <c r="AC46" s="512" t="s">
        <v>68</v>
      </c>
      <c r="AD46" s="319" t="s">
        <v>68</v>
      </c>
      <c r="AE46" s="319" t="s">
        <v>68</v>
      </c>
      <c r="AF46" s="319" t="s">
        <v>68</v>
      </c>
      <c r="AG46" s="319" t="s">
        <v>68</v>
      </c>
      <c r="AH46" s="512" t="s">
        <v>68</v>
      </c>
      <c r="AI46" s="319" t="s">
        <v>68</v>
      </c>
    </row>
    <row r="47" spans="1:37">
      <c r="A47" s="317" t="str">
        <f>Data!A50</f>
        <v>HVIL003-PMMA-RT-AL-S04.0-0045</v>
      </c>
      <c r="B47" s="497" t="str">
        <f>Data!BC50</f>
        <v>Y</v>
      </c>
      <c r="C47" s="529">
        <f>Data!S50</f>
        <v>2276.7379881656375</v>
      </c>
      <c r="D47" s="318">
        <v>30.3</v>
      </c>
      <c r="E47" s="319">
        <v>30.2</v>
      </c>
      <c r="F47" s="319">
        <v>30.3</v>
      </c>
      <c r="G47" s="320">
        <v>30.2</v>
      </c>
      <c r="H47" s="313">
        <f t="shared" si="10"/>
        <v>915.06</v>
      </c>
      <c r="I47" s="321">
        <v>1.55</v>
      </c>
      <c r="J47" s="319">
        <v>1.67</v>
      </c>
      <c r="K47" s="319">
        <v>1.7</v>
      </c>
      <c r="L47" s="319">
        <v>1.71</v>
      </c>
      <c r="M47" s="315">
        <f t="shared" si="11"/>
        <v>1.6575</v>
      </c>
      <c r="N47" s="318">
        <v>4.2</v>
      </c>
      <c r="O47" s="319">
        <v>4</v>
      </c>
      <c r="P47" s="336">
        <f t="shared" si="2"/>
        <v>4.2</v>
      </c>
      <c r="Q47" s="510">
        <f t="shared" si="3"/>
        <v>13.194678</v>
      </c>
      <c r="R47" s="319">
        <v>10.26</v>
      </c>
      <c r="S47" s="319">
        <v>10.54</v>
      </c>
      <c r="T47" s="336">
        <f t="shared" si="4"/>
        <v>84.933199809000001</v>
      </c>
      <c r="U47" s="319">
        <v>10.26</v>
      </c>
      <c r="V47" s="320">
        <v>10.54</v>
      </c>
      <c r="W47" s="419">
        <f t="shared" si="5"/>
        <v>84.933199809000001</v>
      </c>
      <c r="X47" s="423">
        <f t="shared" si="6"/>
        <v>84.933199809000001</v>
      </c>
      <c r="Y47" s="322" t="s">
        <v>68</v>
      </c>
      <c r="Z47" s="319" t="s">
        <v>68</v>
      </c>
      <c r="AA47" s="319" t="s">
        <v>68</v>
      </c>
      <c r="AB47" s="319" t="s">
        <v>68</v>
      </c>
      <c r="AC47" s="512" t="s">
        <v>68</v>
      </c>
      <c r="AD47" s="319" t="s">
        <v>68</v>
      </c>
      <c r="AE47" s="319" t="s">
        <v>68</v>
      </c>
      <c r="AF47" s="319" t="s">
        <v>68</v>
      </c>
      <c r="AG47" s="319" t="s">
        <v>68</v>
      </c>
      <c r="AH47" s="512" t="s">
        <v>68</v>
      </c>
      <c r="AI47" s="319" t="s">
        <v>68</v>
      </c>
    </row>
    <row r="48" spans="1:37">
      <c r="A48" s="317" t="str">
        <f>Data!A51</f>
        <v>HVIL001-HDPE-RT-AL-S10.0-0046</v>
      </c>
      <c r="B48" s="497" t="str">
        <f>Data!BC51</f>
        <v>Y</v>
      </c>
      <c r="C48" s="529">
        <f>Data!S51</f>
        <v>4483.2956215940685</v>
      </c>
      <c r="D48" s="318">
        <v>30.2</v>
      </c>
      <c r="E48" s="319">
        <v>30.5</v>
      </c>
      <c r="F48" s="319">
        <v>30.2</v>
      </c>
      <c r="G48" s="320">
        <v>30</v>
      </c>
      <c r="H48" s="313">
        <f t="shared" si="10"/>
        <v>913.55</v>
      </c>
      <c r="I48" s="321">
        <v>6.32</v>
      </c>
      <c r="J48" s="319">
        <v>6.36</v>
      </c>
      <c r="K48" s="319">
        <v>6.31</v>
      </c>
      <c r="L48" s="319">
        <v>6.32</v>
      </c>
      <c r="M48" s="315">
        <f t="shared" si="11"/>
        <v>6.3274999999999997</v>
      </c>
      <c r="N48" s="318">
        <v>28.38</v>
      </c>
      <c r="O48" s="319">
        <v>28.13</v>
      </c>
      <c r="P48" s="336">
        <f t="shared" si="2"/>
        <v>28.38</v>
      </c>
      <c r="Q48" s="510">
        <f t="shared" si="3"/>
        <v>627.00591493649995</v>
      </c>
      <c r="R48" s="319">
        <v>36.130000000000003</v>
      </c>
      <c r="S48" s="319">
        <v>36.53</v>
      </c>
      <c r="T48" s="336">
        <f t="shared" si="4"/>
        <v>1036.59031848775</v>
      </c>
      <c r="U48" s="319">
        <v>36.35</v>
      </c>
      <c r="V48" s="320">
        <v>36.33</v>
      </c>
      <c r="W48" s="419">
        <f t="shared" si="5"/>
        <v>1037.1924042112501</v>
      </c>
      <c r="X48" s="423">
        <f t="shared" si="6"/>
        <v>1037.1924042112501</v>
      </c>
      <c r="Y48" s="322">
        <v>5.55</v>
      </c>
      <c r="Z48" s="319">
        <v>5.62</v>
      </c>
      <c r="AA48" s="319">
        <v>4.96</v>
      </c>
      <c r="AB48" s="319">
        <v>8.61</v>
      </c>
      <c r="AC48" s="524">
        <f>IF(Y48="","",AVERAGE(Y48:AB48))</f>
        <v>6.1849999999999996</v>
      </c>
      <c r="AD48" s="319">
        <v>4.51</v>
      </c>
      <c r="AE48" s="319">
        <v>4.1100000000000003</v>
      </c>
      <c r="AF48" s="319">
        <v>4.0199999999999996</v>
      </c>
      <c r="AG48" s="319">
        <v>4.72</v>
      </c>
      <c r="AH48" s="549">
        <f t="shared" si="12"/>
        <v>4.34</v>
      </c>
      <c r="AI48" s="515">
        <f t="shared" si="8"/>
        <v>5.2624999999999993</v>
      </c>
    </row>
    <row r="49" spans="1:35">
      <c r="A49" s="317" t="str">
        <f>Data!A52</f>
        <v>HVIL001-HDPE-RT-AL-S10.0-0047</v>
      </c>
      <c r="B49" s="497" t="str">
        <f>Data!BC52</f>
        <v>N</v>
      </c>
      <c r="C49" s="529" t="str">
        <f>Data!S52</f>
        <v>N/R</v>
      </c>
      <c r="D49" s="318" t="s">
        <v>68</v>
      </c>
      <c r="E49" s="319" t="s">
        <v>68</v>
      </c>
      <c r="F49" s="319" t="s">
        <v>68</v>
      </c>
      <c r="G49" s="320" t="s">
        <v>68</v>
      </c>
      <c r="H49" s="313" t="s">
        <v>68</v>
      </c>
      <c r="I49" s="321" t="s">
        <v>68</v>
      </c>
      <c r="J49" s="319" t="s">
        <v>68</v>
      </c>
      <c r="K49" s="319" t="s">
        <v>68</v>
      </c>
      <c r="L49" s="319" t="s">
        <v>68</v>
      </c>
      <c r="M49" s="315" t="s">
        <v>68</v>
      </c>
      <c r="N49" s="332" t="s">
        <v>68</v>
      </c>
      <c r="O49" s="319" t="s">
        <v>68</v>
      </c>
      <c r="P49" s="319" t="s">
        <v>68</v>
      </c>
      <c r="Q49" s="512" t="s">
        <v>68</v>
      </c>
      <c r="R49" s="319" t="s">
        <v>68</v>
      </c>
      <c r="S49" s="319" t="s">
        <v>68</v>
      </c>
      <c r="T49" s="319" t="s">
        <v>68</v>
      </c>
      <c r="U49" s="319" t="s">
        <v>68</v>
      </c>
      <c r="V49" s="319" t="s">
        <v>68</v>
      </c>
      <c r="W49" s="319" t="s">
        <v>68</v>
      </c>
      <c r="X49" s="319" t="s">
        <v>68</v>
      </c>
      <c r="Y49" s="322" t="s">
        <v>68</v>
      </c>
      <c r="Z49" s="319" t="s">
        <v>68</v>
      </c>
      <c r="AA49" s="319" t="s">
        <v>68</v>
      </c>
      <c r="AB49" s="319" t="s">
        <v>68</v>
      </c>
      <c r="AC49" s="512" t="s">
        <v>68</v>
      </c>
      <c r="AD49" s="319" t="s">
        <v>68</v>
      </c>
      <c r="AE49" s="319" t="s">
        <v>68</v>
      </c>
      <c r="AF49" s="319" t="s">
        <v>68</v>
      </c>
      <c r="AG49" s="319" t="s">
        <v>68</v>
      </c>
      <c r="AH49" s="512" t="s">
        <v>68</v>
      </c>
      <c r="AI49" s="319" t="s">
        <v>68</v>
      </c>
    </row>
    <row r="50" spans="1:35">
      <c r="A50" s="317" t="str">
        <f>Data!A53</f>
        <v>HVIL001-HDPE-RT-AL-S10.0-0048</v>
      </c>
      <c r="B50" s="497" t="str">
        <f>Data!BC53</f>
        <v>Y</v>
      </c>
      <c r="C50" s="529">
        <f>Data!S53</f>
        <v>4290.4598407595831</v>
      </c>
      <c r="D50" s="318">
        <v>30.1</v>
      </c>
      <c r="E50" s="319">
        <v>30.2</v>
      </c>
      <c r="F50" s="319">
        <v>30.3</v>
      </c>
      <c r="G50" s="320">
        <v>30.4</v>
      </c>
      <c r="H50" s="313">
        <f t="shared" si="10"/>
        <v>915.06</v>
      </c>
      <c r="I50" s="321">
        <v>6.25</v>
      </c>
      <c r="J50" s="319">
        <v>6.21</v>
      </c>
      <c r="K50" s="319">
        <v>6.21</v>
      </c>
      <c r="L50" s="319">
        <v>6.24</v>
      </c>
      <c r="M50" s="315">
        <f t="shared" si="11"/>
        <v>6.2275000000000009</v>
      </c>
      <c r="N50" s="318">
        <v>27.23</v>
      </c>
      <c r="O50" s="319">
        <v>26.88</v>
      </c>
      <c r="P50" s="336">
        <f t="shared" si="2"/>
        <v>27.23</v>
      </c>
      <c r="Q50" s="510">
        <f t="shared" si="3"/>
        <v>574.86573110400002</v>
      </c>
      <c r="R50" s="319">
        <v>35.29</v>
      </c>
      <c r="S50" s="319">
        <v>35.58</v>
      </c>
      <c r="T50" s="336">
        <f t="shared" si="4"/>
        <v>986.15939523449981</v>
      </c>
      <c r="U50" s="319">
        <v>35.51</v>
      </c>
      <c r="V50" s="320">
        <v>35.409999999999997</v>
      </c>
      <c r="W50" s="419">
        <f t="shared" si="5"/>
        <v>987.56596361724985</v>
      </c>
      <c r="X50" s="423">
        <f t="shared" si="6"/>
        <v>987.56596361724985</v>
      </c>
      <c r="Y50" s="322">
        <v>4.17</v>
      </c>
      <c r="Z50" s="319">
        <v>5.74</v>
      </c>
      <c r="AA50" s="319">
        <v>4.32</v>
      </c>
      <c r="AB50" s="319">
        <v>4.99</v>
      </c>
      <c r="AC50" s="524">
        <f>IF(Y50="","",AVERAGE(Y50:AB50))</f>
        <v>4.8049999999999997</v>
      </c>
      <c r="AD50" s="319">
        <v>5.36</v>
      </c>
      <c r="AE50" s="319">
        <v>3.89</v>
      </c>
      <c r="AF50" s="319">
        <v>3.94</v>
      </c>
      <c r="AG50" s="319">
        <v>3.67</v>
      </c>
      <c r="AH50" s="549">
        <f t="shared" si="12"/>
        <v>4.2149999999999999</v>
      </c>
      <c r="AI50" s="515">
        <f t="shared" si="8"/>
        <v>4.51</v>
      </c>
    </row>
    <row r="51" spans="1:35">
      <c r="A51" s="317" t="str">
        <f>Data!A54</f>
        <v>HVIL001-HDPE-RT-AL-S10.0-0049</v>
      </c>
      <c r="B51" s="497" t="str">
        <f>Data!BC54</f>
        <v>Y</v>
      </c>
      <c r="C51" s="529">
        <f>Data!S54</f>
        <v>5470.2635107987107</v>
      </c>
      <c r="D51" s="318">
        <v>30.4</v>
      </c>
      <c r="E51" s="319">
        <v>30.5</v>
      </c>
      <c r="F51" s="319">
        <v>30.3</v>
      </c>
      <c r="G51" s="320">
        <v>30.5</v>
      </c>
      <c r="H51" s="313">
        <f t="shared" si="10"/>
        <v>925.67500000000007</v>
      </c>
      <c r="I51" s="321">
        <v>6.25</v>
      </c>
      <c r="J51" s="319">
        <v>6.2</v>
      </c>
      <c r="K51" s="319">
        <v>6.2</v>
      </c>
      <c r="L51" s="319">
        <v>6.22</v>
      </c>
      <c r="M51" s="315">
        <f t="shared" si="11"/>
        <v>6.2174999999999994</v>
      </c>
      <c r="N51" s="318">
        <v>30.44</v>
      </c>
      <c r="O51" s="319">
        <v>29.79</v>
      </c>
      <c r="P51" s="336">
        <f t="shared" si="2"/>
        <v>30.44</v>
      </c>
      <c r="Q51" s="510">
        <f t="shared" si="3"/>
        <v>712.20442202100003</v>
      </c>
      <c r="R51" s="319">
        <v>38.4</v>
      </c>
      <c r="S51" s="319">
        <v>39.22</v>
      </c>
      <c r="T51" s="336">
        <f t="shared" si="4"/>
        <v>1182.8463340799999</v>
      </c>
      <c r="U51" s="319">
        <v>38.26</v>
      </c>
      <c r="V51" s="320">
        <v>39.18</v>
      </c>
      <c r="W51" s="419">
        <f t="shared" si="5"/>
        <v>1177.3319011529998</v>
      </c>
      <c r="X51" s="423">
        <f t="shared" si="6"/>
        <v>1182.8463340799999</v>
      </c>
      <c r="Y51" s="322">
        <v>4.8099999999999996</v>
      </c>
      <c r="Z51" s="319">
        <v>5.07</v>
      </c>
      <c r="AA51" s="319">
        <v>5.6</v>
      </c>
      <c r="AB51" s="319">
        <v>4.42</v>
      </c>
      <c r="AC51" s="524">
        <f>IF(Y51="","",AVERAGE(Y51:AB51))</f>
        <v>4.9749999999999996</v>
      </c>
      <c r="AD51" s="319">
        <v>3.63</v>
      </c>
      <c r="AE51" s="319">
        <v>3.96</v>
      </c>
      <c r="AF51" s="319">
        <v>3.19</v>
      </c>
      <c r="AG51" s="319">
        <v>3.77</v>
      </c>
      <c r="AH51" s="549">
        <f t="shared" si="12"/>
        <v>3.6374999999999997</v>
      </c>
      <c r="AI51" s="515">
        <f t="shared" si="8"/>
        <v>4.3062499999999995</v>
      </c>
    </row>
    <row r="52" spans="1:35">
      <c r="A52" s="317" t="str">
        <f>Data!A55</f>
        <v>HVIL001-HDPE-RT-AL-S10.0-0050</v>
      </c>
      <c r="B52" s="497" t="str">
        <f>Data!BC55</f>
        <v>Y</v>
      </c>
      <c r="C52" s="529">
        <f>Data!S55</f>
        <v>4789.2020734371454</v>
      </c>
      <c r="D52" s="318">
        <v>30.4</v>
      </c>
      <c r="E52" s="319">
        <v>30.3</v>
      </c>
      <c r="F52" s="319">
        <v>30.5</v>
      </c>
      <c r="G52" s="320">
        <v>30.4</v>
      </c>
      <c r="H52" s="313">
        <f t="shared" si="10"/>
        <v>924.15750000000003</v>
      </c>
      <c r="I52" s="321">
        <v>6.23</v>
      </c>
      <c r="J52" s="319">
        <v>6.19</v>
      </c>
      <c r="K52" s="319">
        <v>6.18</v>
      </c>
      <c r="L52" s="319">
        <v>6.16</v>
      </c>
      <c r="M52" s="315">
        <f t="shared" si="11"/>
        <v>6.19</v>
      </c>
      <c r="N52" s="318">
        <v>28.2</v>
      </c>
      <c r="O52" s="319">
        <v>28.1</v>
      </c>
      <c r="P52" s="336">
        <f t="shared" si="2"/>
        <v>28.2</v>
      </c>
      <c r="Q52" s="510">
        <f t="shared" si="3"/>
        <v>622.36468695000008</v>
      </c>
      <c r="R52" s="319">
        <v>35.799999999999997</v>
      </c>
      <c r="S52" s="319">
        <v>36.46</v>
      </c>
      <c r="T52" s="336">
        <f t="shared" si="4"/>
        <v>1025.15422403</v>
      </c>
      <c r="U52" s="319">
        <v>36.130000000000003</v>
      </c>
      <c r="V52" s="320">
        <v>35.86</v>
      </c>
      <c r="W52" s="419">
        <f t="shared" si="5"/>
        <v>1017.5781226655</v>
      </c>
      <c r="X52" s="423">
        <f t="shared" si="6"/>
        <v>1025.15422403</v>
      </c>
      <c r="Y52" s="322">
        <v>4.75</v>
      </c>
      <c r="Z52" s="319">
        <v>5.17</v>
      </c>
      <c r="AA52" s="319">
        <v>4.29</v>
      </c>
      <c r="AB52" s="319">
        <v>4.3600000000000003</v>
      </c>
      <c r="AC52" s="524">
        <f>IF(Y52="","",AVERAGE(Y52:AB52))</f>
        <v>4.6425000000000001</v>
      </c>
      <c r="AD52" s="319">
        <v>4.54</v>
      </c>
      <c r="AE52" s="319">
        <v>4.57</v>
      </c>
      <c r="AF52" s="319">
        <v>5.62</v>
      </c>
      <c r="AG52" s="319">
        <v>4.0999999999999996</v>
      </c>
      <c r="AH52" s="549">
        <f t="shared" si="12"/>
        <v>4.7074999999999996</v>
      </c>
      <c r="AI52" s="515">
        <f t="shared" si="8"/>
        <v>4.6749999999999998</v>
      </c>
    </row>
    <row r="53" spans="1:35">
      <c r="A53" s="317" t="str">
        <f>Data!A56</f>
        <v>HVIL003-PMMA-RT-AL-S04.0-0051</v>
      </c>
      <c r="B53" s="497" t="str">
        <f>Data!BC56</f>
        <v>N</v>
      </c>
      <c r="C53" s="529">
        <f>Data!S56</f>
        <v>6526.9837037316811</v>
      </c>
      <c r="D53" s="318" t="s">
        <v>68</v>
      </c>
      <c r="E53" s="319" t="s">
        <v>68</v>
      </c>
      <c r="F53" s="319" t="s">
        <v>68</v>
      </c>
      <c r="G53" s="320" t="s">
        <v>68</v>
      </c>
      <c r="H53" s="313" t="s">
        <v>68</v>
      </c>
      <c r="I53" s="321" t="s">
        <v>68</v>
      </c>
      <c r="J53" s="319" t="s">
        <v>68</v>
      </c>
      <c r="K53" s="319" t="s">
        <v>68</v>
      </c>
      <c r="L53" s="319" t="s">
        <v>68</v>
      </c>
      <c r="M53" s="315" t="s">
        <v>68</v>
      </c>
      <c r="N53" s="332" t="s">
        <v>68</v>
      </c>
      <c r="O53" s="319" t="s">
        <v>68</v>
      </c>
      <c r="P53" s="319" t="s">
        <v>68</v>
      </c>
      <c r="Q53" s="512" t="s">
        <v>68</v>
      </c>
      <c r="R53" s="319" t="s">
        <v>68</v>
      </c>
      <c r="S53" s="319" t="s">
        <v>68</v>
      </c>
      <c r="T53" s="319" t="s">
        <v>68</v>
      </c>
      <c r="U53" s="319" t="s">
        <v>68</v>
      </c>
      <c r="V53" s="319" t="s">
        <v>68</v>
      </c>
      <c r="W53" s="319" t="s">
        <v>68</v>
      </c>
      <c r="X53" s="319" t="s">
        <v>68</v>
      </c>
      <c r="Y53" s="322" t="s">
        <v>68</v>
      </c>
      <c r="Z53" s="319" t="s">
        <v>68</v>
      </c>
      <c r="AA53" s="319" t="s">
        <v>68</v>
      </c>
      <c r="AB53" s="319" t="s">
        <v>68</v>
      </c>
      <c r="AC53" s="512" t="s">
        <v>68</v>
      </c>
      <c r="AD53" s="319" t="s">
        <v>68</v>
      </c>
      <c r="AE53" s="319" t="s">
        <v>68</v>
      </c>
      <c r="AF53" s="319" t="s">
        <v>68</v>
      </c>
      <c r="AG53" s="319" t="s">
        <v>68</v>
      </c>
      <c r="AH53" s="512" t="s">
        <v>68</v>
      </c>
      <c r="AI53" s="319" t="s">
        <v>68</v>
      </c>
    </row>
    <row r="54" spans="1:35">
      <c r="A54" s="317" t="str">
        <f>Data!A57</f>
        <v>HVIL003-PMMA-RT-AL-S04.0-0052</v>
      </c>
      <c r="B54" s="497" t="str">
        <f>Data!BC57</f>
        <v>N</v>
      </c>
      <c r="C54" s="529">
        <f>Data!S57</f>
        <v>6107.102702942585</v>
      </c>
      <c r="D54" s="318" t="s">
        <v>68</v>
      </c>
      <c r="E54" s="319" t="s">
        <v>68</v>
      </c>
      <c r="F54" s="319" t="s">
        <v>68</v>
      </c>
      <c r="G54" s="320" t="s">
        <v>68</v>
      </c>
      <c r="H54" s="313" t="s">
        <v>68</v>
      </c>
      <c r="I54" s="321" t="s">
        <v>68</v>
      </c>
      <c r="J54" s="319" t="s">
        <v>68</v>
      </c>
      <c r="K54" s="319" t="s">
        <v>68</v>
      </c>
      <c r="L54" s="319" t="s">
        <v>68</v>
      </c>
      <c r="M54" s="315" t="s">
        <v>68</v>
      </c>
      <c r="N54" s="525" t="s">
        <v>68</v>
      </c>
      <c r="O54" s="319" t="s">
        <v>68</v>
      </c>
      <c r="P54" s="319" t="s">
        <v>68</v>
      </c>
      <c r="Q54" s="512" t="s">
        <v>68</v>
      </c>
      <c r="R54" s="319" t="s">
        <v>68</v>
      </c>
      <c r="S54" s="319" t="s">
        <v>68</v>
      </c>
      <c r="T54" s="319" t="s">
        <v>68</v>
      </c>
      <c r="U54" s="319" t="s">
        <v>68</v>
      </c>
      <c r="V54" s="319" t="s">
        <v>68</v>
      </c>
      <c r="W54" s="319" t="s">
        <v>68</v>
      </c>
      <c r="X54" s="319" t="s">
        <v>68</v>
      </c>
      <c r="Y54" s="322" t="s">
        <v>68</v>
      </c>
      <c r="Z54" s="319" t="s">
        <v>68</v>
      </c>
      <c r="AA54" s="319" t="s">
        <v>68</v>
      </c>
      <c r="AB54" s="319" t="s">
        <v>68</v>
      </c>
      <c r="AC54" s="512" t="s">
        <v>68</v>
      </c>
      <c r="AD54" s="319" t="s">
        <v>68</v>
      </c>
      <c r="AE54" s="319" t="s">
        <v>68</v>
      </c>
      <c r="AF54" s="319" t="s">
        <v>68</v>
      </c>
      <c r="AG54" s="319" t="s">
        <v>68</v>
      </c>
      <c r="AH54" s="512" t="s">
        <v>68</v>
      </c>
      <c r="AI54" s="319" t="s">
        <v>68</v>
      </c>
    </row>
    <row r="55" spans="1:35">
      <c r="A55" s="317" t="str">
        <f>Data!A58</f>
        <v>HVIL001-HDPE-RT-AL-S10.0-0053</v>
      </c>
      <c r="B55" s="497" t="str">
        <f>Data!BC58</f>
        <v>Y</v>
      </c>
      <c r="C55" s="529">
        <f>Data!S58</f>
        <v>3843.6452762810304</v>
      </c>
      <c r="D55" s="318">
        <v>30.4</v>
      </c>
      <c r="E55" s="319">
        <v>30.3</v>
      </c>
      <c r="F55" s="319">
        <v>30.3</v>
      </c>
      <c r="G55" s="320">
        <v>30.6</v>
      </c>
      <c r="H55" s="313">
        <f t="shared" si="10"/>
        <v>924.15750000000014</v>
      </c>
      <c r="I55" s="321">
        <v>6.19</v>
      </c>
      <c r="J55" s="319">
        <v>6.2</v>
      </c>
      <c r="K55" s="319">
        <v>6.18</v>
      </c>
      <c r="L55" s="319">
        <v>6.15</v>
      </c>
      <c r="M55" s="315">
        <f t="shared" si="11"/>
        <v>6.18</v>
      </c>
      <c r="N55" s="318">
        <v>25.95</v>
      </c>
      <c r="O55" s="319">
        <v>25.66</v>
      </c>
      <c r="P55" s="336">
        <f t="shared" si="2"/>
        <v>25.95</v>
      </c>
      <c r="Q55" s="510">
        <f t="shared" si="3"/>
        <v>522.97813110749996</v>
      </c>
      <c r="R55" s="319">
        <v>33.24</v>
      </c>
      <c r="S55" s="319">
        <v>33.19</v>
      </c>
      <c r="T55" s="336">
        <f t="shared" si="4"/>
        <v>866.47848215099998</v>
      </c>
      <c r="U55" s="319">
        <v>34.39</v>
      </c>
      <c r="V55" s="320">
        <v>34.409999999999997</v>
      </c>
      <c r="W55" s="419">
        <f t="shared" si="5"/>
        <v>929.40790706024995</v>
      </c>
      <c r="X55" s="423">
        <f t="shared" si="6"/>
        <v>929.40790706024995</v>
      </c>
      <c r="Y55" s="322">
        <v>4.18</v>
      </c>
      <c r="Z55" s="319">
        <v>4.45</v>
      </c>
      <c r="AA55" s="319">
        <v>4.3899999999999997</v>
      </c>
      <c r="AB55" s="319">
        <v>4.46</v>
      </c>
      <c r="AC55" s="524">
        <f>IF(Y55="","",AVERAGE(Y55:AB55))</f>
        <v>4.37</v>
      </c>
      <c r="AD55" s="319">
        <v>4.29</v>
      </c>
      <c r="AE55" s="319">
        <v>3.5</v>
      </c>
      <c r="AF55" s="319">
        <v>4.0199999999999996</v>
      </c>
      <c r="AG55" s="319">
        <v>3.97</v>
      </c>
      <c r="AH55" s="549">
        <f t="shared" si="12"/>
        <v>3.9449999999999998</v>
      </c>
      <c r="AI55" s="515">
        <f t="shared" si="8"/>
        <v>4.1574999999999998</v>
      </c>
    </row>
    <row r="56" spans="1:35">
      <c r="A56" s="317" t="str">
        <f>Data!A59</f>
        <v>HVIL001-HDPE-RT-AL-S10.0-0054</v>
      </c>
      <c r="B56" s="497" t="str">
        <f>Data!BC59</f>
        <v>Y</v>
      </c>
      <c r="C56" s="529">
        <f>Data!S59</f>
        <v>2484.618904555874</v>
      </c>
      <c r="D56" s="318">
        <v>30.2</v>
      </c>
      <c r="E56" s="319">
        <v>30.5</v>
      </c>
      <c r="F56" s="319">
        <v>30</v>
      </c>
      <c r="G56" s="320">
        <v>30.4</v>
      </c>
      <c r="H56" s="313">
        <f t="shared" si="10"/>
        <v>916.54500000000007</v>
      </c>
      <c r="I56" s="321">
        <v>6.19</v>
      </c>
      <c r="J56" s="319">
        <v>6.17</v>
      </c>
      <c r="K56" s="319">
        <v>6.15</v>
      </c>
      <c r="L56" s="319">
        <v>6.2</v>
      </c>
      <c r="M56" s="315">
        <f t="shared" si="11"/>
        <v>6.1774999999999993</v>
      </c>
      <c r="N56" s="318">
        <v>20.62</v>
      </c>
      <c r="O56" s="319">
        <v>20.71</v>
      </c>
      <c r="P56" s="336">
        <f t="shared" si="2"/>
        <v>20.71</v>
      </c>
      <c r="Q56" s="510">
        <f t="shared" si="3"/>
        <v>335.39630547950003</v>
      </c>
      <c r="R56" s="319">
        <v>27.76</v>
      </c>
      <c r="S56" s="319">
        <v>26.76</v>
      </c>
      <c r="T56" s="336">
        <f t="shared" si="4"/>
        <v>583.43850189600005</v>
      </c>
      <c r="U56" s="319">
        <v>28</v>
      </c>
      <c r="V56" s="320">
        <v>27.2</v>
      </c>
      <c r="W56" s="419">
        <f t="shared" si="5"/>
        <v>598.15873599999998</v>
      </c>
      <c r="X56" s="423">
        <f t="shared" si="6"/>
        <v>598.15873599999998</v>
      </c>
      <c r="Y56" s="322">
        <v>4.21</v>
      </c>
      <c r="Z56" s="319">
        <v>3.85</v>
      </c>
      <c r="AA56" s="319">
        <v>4.12</v>
      </c>
      <c r="AB56" s="319">
        <v>4.24</v>
      </c>
      <c r="AC56" s="524">
        <f>IF(Y56="","",AVERAGE(Y56:AB56))</f>
        <v>4.1050000000000004</v>
      </c>
      <c r="AD56" s="319">
        <v>3.89</v>
      </c>
      <c r="AE56" s="319">
        <v>3.44</v>
      </c>
      <c r="AF56" s="319">
        <v>3.32</v>
      </c>
      <c r="AG56" s="319">
        <v>3.61</v>
      </c>
      <c r="AH56" s="549">
        <f t="shared" si="12"/>
        <v>3.5649999999999999</v>
      </c>
      <c r="AI56" s="515">
        <f t="shared" si="8"/>
        <v>3.835</v>
      </c>
    </row>
    <row r="57" spans="1:35">
      <c r="A57" s="317" t="str">
        <f>Data!A60</f>
        <v>HVIL003-PMMA-RT-ST-S10.0-0055</v>
      </c>
      <c r="B57" s="497" t="str">
        <f>Data!BC60</f>
        <v>Y</v>
      </c>
      <c r="C57" s="529">
        <f>Data!S60</f>
        <v>1900.4031280812858</v>
      </c>
      <c r="D57" s="318">
        <v>30.6</v>
      </c>
      <c r="E57" s="319">
        <v>30.6</v>
      </c>
      <c r="F57" s="319">
        <v>30.6</v>
      </c>
      <c r="G57" s="320">
        <v>30.6</v>
      </c>
      <c r="H57" s="313">
        <f t="shared" si="10"/>
        <v>936.36000000000013</v>
      </c>
      <c r="I57" s="321">
        <v>5.66</v>
      </c>
      <c r="J57" s="319">
        <v>5.55</v>
      </c>
      <c r="K57" s="319">
        <v>5.79</v>
      </c>
      <c r="L57" s="319">
        <v>6.04</v>
      </c>
      <c r="M57" s="315">
        <f t="shared" si="11"/>
        <v>5.76</v>
      </c>
      <c r="N57" s="318">
        <v>8.4499999999999993</v>
      </c>
      <c r="O57" s="319">
        <v>9.11</v>
      </c>
      <c r="P57" s="336">
        <f t="shared" si="2"/>
        <v>9.11</v>
      </c>
      <c r="Q57" s="510">
        <f t="shared" si="3"/>
        <v>60.459506851249991</v>
      </c>
      <c r="R57" s="319">
        <v>39.71</v>
      </c>
      <c r="S57" s="319">
        <v>43.53</v>
      </c>
      <c r="T57" s="336">
        <f t="shared" si="4"/>
        <v>1357.6195045792501</v>
      </c>
      <c r="U57" s="319">
        <v>39.71</v>
      </c>
      <c r="V57" s="320">
        <v>43.53</v>
      </c>
      <c r="W57" s="419">
        <f t="shared" si="5"/>
        <v>1357.6195045792501</v>
      </c>
      <c r="X57" s="423">
        <f t="shared" si="6"/>
        <v>1357.6195045792501</v>
      </c>
      <c r="Y57" s="322" t="s">
        <v>68</v>
      </c>
      <c r="Z57" s="319" t="s">
        <v>68</v>
      </c>
      <c r="AA57" s="319" t="s">
        <v>68</v>
      </c>
      <c r="AB57" s="319" t="s">
        <v>68</v>
      </c>
      <c r="AC57" s="512" t="s">
        <v>68</v>
      </c>
      <c r="AD57" s="319" t="s">
        <v>68</v>
      </c>
      <c r="AE57" s="319" t="s">
        <v>68</v>
      </c>
      <c r="AF57" s="319" t="s">
        <v>68</v>
      </c>
      <c r="AG57" s="319" t="s">
        <v>68</v>
      </c>
      <c r="AH57" s="512" t="s">
        <v>68</v>
      </c>
      <c r="AI57" s="319" t="s">
        <v>68</v>
      </c>
    </row>
    <row r="58" spans="1:35">
      <c r="A58" s="317" t="str">
        <f>Data!A61</f>
        <v>HVIL002-HPC-RT-S2-S10.0-0056</v>
      </c>
      <c r="B58" s="497" t="str">
        <f>Data!BC61</f>
        <v>Y</v>
      </c>
      <c r="C58" s="529">
        <f>Data!S61</f>
        <v>2034.7143565911379</v>
      </c>
      <c r="D58" s="318" t="s">
        <v>68</v>
      </c>
      <c r="E58" s="319" t="s">
        <v>68</v>
      </c>
      <c r="F58" s="319" t="s">
        <v>68</v>
      </c>
      <c r="G58" s="320" t="s">
        <v>68</v>
      </c>
      <c r="H58" s="313" t="s">
        <v>68</v>
      </c>
      <c r="I58" s="321" t="s">
        <v>68</v>
      </c>
      <c r="J58" s="319" t="s">
        <v>68</v>
      </c>
      <c r="K58" s="319" t="s">
        <v>68</v>
      </c>
      <c r="L58" s="319" t="s">
        <v>68</v>
      </c>
      <c r="M58" s="315" t="s">
        <v>68</v>
      </c>
      <c r="N58" s="525" t="s">
        <v>68</v>
      </c>
      <c r="O58" s="319" t="s">
        <v>68</v>
      </c>
      <c r="P58" s="319" t="s">
        <v>68</v>
      </c>
      <c r="Q58" s="512" t="s">
        <v>68</v>
      </c>
      <c r="R58" s="319" t="s">
        <v>68</v>
      </c>
      <c r="S58" s="319" t="s">
        <v>68</v>
      </c>
      <c r="T58" s="319" t="s">
        <v>68</v>
      </c>
      <c r="U58" s="319" t="s">
        <v>68</v>
      </c>
      <c r="V58" s="319" t="s">
        <v>68</v>
      </c>
      <c r="W58" s="319" t="s">
        <v>68</v>
      </c>
      <c r="X58" s="319" t="s">
        <v>68</v>
      </c>
      <c r="Y58" s="322" t="s">
        <v>68</v>
      </c>
      <c r="Z58" s="319" t="s">
        <v>68</v>
      </c>
      <c r="AA58" s="319" t="s">
        <v>68</v>
      </c>
      <c r="AB58" s="319" t="s">
        <v>68</v>
      </c>
      <c r="AC58" s="512" t="s">
        <v>68</v>
      </c>
      <c r="AD58" s="319" t="s">
        <v>68</v>
      </c>
      <c r="AE58" s="319" t="s">
        <v>68</v>
      </c>
      <c r="AF58" s="319" t="s">
        <v>68</v>
      </c>
      <c r="AG58" s="319" t="s">
        <v>68</v>
      </c>
      <c r="AH58" s="512" t="s">
        <v>68</v>
      </c>
      <c r="AI58" s="319" t="s">
        <v>68</v>
      </c>
    </row>
    <row r="59" spans="1:35">
      <c r="A59" s="317" t="str">
        <f>Data!A62</f>
        <v>HVIL004-PMMA-RT-NY-S04.0-0057</v>
      </c>
      <c r="B59" s="497" t="str">
        <f>Data!BC62</f>
        <v>Y</v>
      </c>
      <c r="C59" s="529">
        <f>Data!S62</f>
        <v>2523.9047431237059</v>
      </c>
      <c r="D59" s="318">
        <v>30.4</v>
      </c>
      <c r="E59" s="319">
        <v>30.4</v>
      </c>
      <c r="F59" s="319">
        <v>30.3</v>
      </c>
      <c r="G59" s="320">
        <v>30.4</v>
      </c>
      <c r="H59" s="313">
        <f t="shared" si="10"/>
        <v>922.64</v>
      </c>
      <c r="I59" s="321">
        <v>1.42</v>
      </c>
      <c r="J59" s="319">
        <v>1.37</v>
      </c>
      <c r="K59" s="319">
        <v>1.4</v>
      </c>
      <c r="L59" s="319">
        <v>1.46</v>
      </c>
      <c r="M59" s="315">
        <f t="shared" si="11"/>
        <v>1.4124999999999999</v>
      </c>
      <c r="N59" s="318">
        <v>4.4800000000000004</v>
      </c>
      <c r="O59" s="319">
        <v>4.5599999999999996</v>
      </c>
      <c r="P59" s="336">
        <f t="shared" si="2"/>
        <v>4.5599999999999996</v>
      </c>
      <c r="Q59" s="510">
        <f t="shared" si="3"/>
        <v>16.044728447999997</v>
      </c>
      <c r="R59" s="319">
        <v>9.59</v>
      </c>
      <c r="S59" s="319">
        <v>9.14</v>
      </c>
      <c r="T59" s="336">
        <f t="shared" si="4"/>
        <v>68.842132908500005</v>
      </c>
      <c r="U59" s="319">
        <v>9.59</v>
      </c>
      <c r="V59" s="320">
        <v>9.14</v>
      </c>
      <c r="W59" s="419">
        <f t="shared" si="5"/>
        <v>68.842132908500005</v>
      </c>
      <c r="X59" s="423">
        <f t="shared" si="6"/>
        <v>68.842132908500005</v>
      </c>
      <c r="Y59" s="322" t="s">
        <v>68</v>
      </c>
      <c r="Z59" s="319" t="s">
        <v>68</v>
      </c>
      <c r="AA59" s="319" t="s">
        <v>68</v>
      </c>
      <c r="AB59" s="319" t="s">
        <v>68</v>
      </c>
      <c r="AC59" s="512" t="s">
        <v>68</v>
      </c>
      <c r="AD59" s="319" t="s">
        <v>68</v>
      </c>
      <c r="AE59" s="319" t="s">
        <v>68</v>
      </c>
      <c r="AF59" s="319" t="s">
        <v>68</v>
      </c>
      <c r="AG59" s="319" t="s">
        <v>68</v>
      </c>
      <c r="AH59" s="512" t="s">
        <v>68</v>
      </c>
      <c r="AI59" s="319" t="s">
        <v>68</v>
      </c>
    </row>
    <row r="60" spans="1:35">
      <c r="A60" s="317" t="str">
        <f>Data!A63</f>
        <v>HVIL001-HDPE-RT-AL-S10.0-0058</v>
      </c>
      <c r="B60" s="497" t="str">
        <f>Data!BC63</f>
        <v>N</v>
      </c>
      <c r="C60" s="529">
        <f>Data!S63</f>
        <v>6141.731761175567</v>
      </c>
      <c r="D60" s="318" t="s">
        <v>68</v>
      </c>
      <c r="E60" s="319" t="s">
        <v>68</v>
      </c>
      <c r="F60" s="319" t="s">
        <v>68</v>
      </c>
      <c r="G60" s="320" t="s">
        <v>68</v>
      </c>
      <c r="H60" s="313" t="s">
        <v>68</v>
      </c>
      <c r="I60" s="321" t="s">
        <v>68</v>
      </c>
      <c r="J60" s="319" t="s">
        <v>68</v>
      </c>
      <c r="K60" s="319" t="s">
        <v>68</v>
      </c>
      <c r="L60" s="319" t="s">
        <v>68</v>
      </c>
      <c r="M60" s="315" t="s">
        <v>68</v>
      </c>
      <c r="N60" s="332" t="s">
        <v>68</v>
      </c>
      <c r="O60" s="319" t="s">
        <v>68</v>
      </c>
      <c r="P60" s="319" t="s">
        <v>68</v>
      </c>
      <c r="Q60" s="512" t="s">
        <v>68</v>
      </c>
      <c r="R60" s="319" t="s">
        <v>68</v>
      </c>
      <c r="S60" s="319" t="s">
        <v>68</v>
      </c>
      <c r="T60" s="319" t="s">
        <v>68</v>
      </c>
      <c r="U60" s="319" t="s">
        <v>68</v>
      </c>
      <c r="V60" s="319" t="s">
        <v>68</v>
      </c>
      <c r="W60" s="319" t="s">
        <v>68</v>
      </c>
      <c r="X60" s="319" t="s">
        <v>68</v>
      </c>
      <c r="Y60" s="322" t="s">
        <v>68</v>
      </c>
      <c r="Z60" s="319" t="s">
        <v>68</v>
      </c>
      <c r="AA60" s="319" t="s">
        <v>68</v>
      </c>
      <c r="AB60" s="319" t="s">
        <v>68</v>
      </c>
      <c r="AC60" s="512" t="s">
        <v>68</v>
      </c>
      <c r="AD60" s="319" t="s">
        <v>68</v>
      </c>
      <c r="AE60" s="319" t="s">
        <v>68</v>
      </c>
      <c r="AF60" s="319" t="s">
        <v>68</v>
      </c>
      <c r="AG60" s="319" t="s">
        <v>68</v>
      </c>
      <c r="AH60" s="512" t="s">
        <v>68</v>
      </c>
      <c r="AI60" s="319" t="s">
        <v>68</v>
      </c>
    </row>
    <row r="61" spans="1:35">
      <c r="A61" s="317" t="str">
        <f>Data!A64</f>
        <v>HVIL001-HDPE-RT-AL-S10.0-0059</v>
      </c>
      <c r="B61" s="497" t="str">
        <f>Data!BC64</f>
        <v>Y</v>
      </c>
      <c r="C61" s="529">
        <f>Data!S64</f>
        <v>6371.7300440707077</v>
      </c>
      <c r="D61" s="318">
        <v>30.2</v>
      </c>
      <c r="E61" s="319">
        <v>30.4</v>
      </c>
      <c r="F61" s="319">
        <v>30.4</v>
      </c>
      <c r="G61" s="320">
        <v>30.3</v>
      </c>
      <c r="H61" s="313">
        <f t="shared" si="10"/>
        <v>919.6049999999999</v>
      </c>
      <c r="I61" s="321">
        <v>6.27</v>
      </c>
      <c r="J61" s="319">
        <v>6.35</v>
      </c>
      <c r="K61" s="319">
        <v>6.26</v>
      </c>
      <c r="L61" s="319">
        <v>6.21</v>
      </c>
      <c r="M61" s="315">
        <f t="shared" si="11"/>
        <v>6.2725</v>
      </c>
      <c r="N61" s="318">
        <v>32.06</v>
      </c>
      <c r="O61" s="319">
        <v>32.36</v>
      </c>
      <c r="P61" s="336">
        <f t="shared" si="2"/>
        <v>32.36</v>
      </c>
      <c r="Q61" s="510">
        <f t="shared" si="3"/>
        <v>814.81974698600004</v>
      </c>
      <c r="R61" s="319">
        <v>40.5</v>
      </c>
      <c r="S61" s="319">
        <v>40.89</v>
      </c>
      <c r="T61" s="336">
        <f t="shared" si="4"/>
        <v>1300.6536028875</v>
      </c>
      <c r="U61" s="319">
        <v>40.71</v>
      </c>
      <c r="V61" s="320">
        <v>40.64</v>
      </c>
      <c r="W61" s="419">
        <f t="shared" si="5"/>
        <v>1299.4043496239999</v>
      </c>
      <c r="X61" s="423">
        <f t="shared" si="6"/>
        <v>1300.6536028875</v>
      </c>
      <c r="Y61" s="322">
        <v>5.12</v>
      </c>
      <c r="Z61" s="319">
        <v>4.78</v>
      </c>
      <c r="AA61" s="319">
        <v>5.3</v>
      </c>
      <c r="AB61" s="319">
        <v>5.03</v>
      </c>
      <c r="AC61" s="524">
        <f>IF(Y61="","",AVERAGE(Y61:AB61))</f>
        <v>5.0575000000000001</v>
      </c>
      <c r="AD61" s="319">
        <v>4.22</v>
      </c>
      <c r="AE61" s="319">
        <v>3.91</v>
      </c>
      <c r="AF61" s="319">
        <v>4.05</v>
      </c>
      <c r="AG61" s="319">
        <v>4.21</v>
      </c>
      <c r="AH61" s="549">
        <f t="shared" si="12"/>
        <v>4.0975000000000001</v>
      </c>
      <c r="AI61" s="515">
        <f t="shared" si="8"/>
        <v>4.5775000000000006</v>
      </c>
    </row>
    <row r="62" spans="1:35">
      <c r="A62" s="317" t="str">
        <f>Data!A65</f>
        <v>HVIL002-HPC-RT-S2-S10.0-0060</v>
      </c>
      <c r="B62" s="497" t="str">
        <f>Data!BC65</f>
        <v>Y</v>
      </c>
      <c r="C62" s="529">
        <f>Data!S65</f>
        <v>2003.0742649665569</v>
      </c>
      <c r="D62" s="318" t="s">
        <v>68</v>
      </c>
      <c r="E62" s="319" t="s">
        <v>68</v>
      </c>
      <c r="F62" s="319" t="s">
        <v>68</v>
      </c>
      <c r="G62" s="320" t="s">
        <v>68</v>
      </c>
      <c r="H62" s="313" t="s">
        <v>68</v>
      </c>
      <c r="I62" s="321" t="s">
        <v>68</v>
      </c>
      <c r="J62" s="319" t="s">
        <v>68</v>
      </c>
      <c r="K62" s="319" t="s">
        <v>68</v>
      </c>
      <c r="L62" s="319" t="s">
        <v>68</v>
      </c>
      <c r="M62" s="315" t="s">
        <v>68</v>
      </c>
      <c r="N62" s="525" t="s">
        <v>68</v>
      </c>
      <c r="O62" s="319" t="s">
        <v>68</v>
      </c>
      <c r="P62" s="319" t="s">
        <v>68</v>
      </c>
      <c r="Q62" s="512" t="s">
        <v>68</v>
      </c>
      <c r="R62" s="319" t="s">
        <v>68</v>
      </c>
      <c r="S62" s="319" t="s">
        <v>68</v>
      </c>
      <c r="T62" s="319" t="s">
        <v>68</v>
      </c>
      <c r="U62" s="319" t="s">
        <v>68</v>
      </c>
      <c r="V62" s="319" t="s">
        <v>68</v>
      </c>
      <c r="W62" s="319" t="s">
        <v>68</v>
      </c>
      <c r="X62" s="319" t="s">
        <v>68</v>
      </c>
      <c r="Y62" s="322" t="s">
        <v>68</v>
      </c>
      <c r="Z62" s="319" t="s">
        <v>68</v>
      </c>
      <c r="AA62" s="319" t="s">
        <v>68</v>
      </c>
      <c r="AB62" s="319" t="s">
        <v>68</v>
      </c>
      <c r="AC62" s="512" t="s">
        <v>68</v>
      </c>
      <c r="AD62" s="319" t="s">
        <v>68</v>
      </c>
      <c r="AE62" s="319" t="s">
        <v>68</v>
      </c>
      <c r="AF62" s="319" t="s">
        <v>68</v>
      </c>
      <c r="AG62" s="319" t="s">
        <v>68</v>
      </c>
      <c r="AH62" s="512" t="s">
        <v>68</v>
      </c>
      <c r="AI62" s="319" t="s">
        <v>68</v>
      </c>
    </row>
    <row r="63" spans="1:35">
      <c r="A63" s="317" t="str">
        <f>Data!A66</f>
        <v>HVIL001-UHMWPE-RT-AL-S10.0-0061</v>
      </c>
      <c r="B63" s="497" t="str">
        <f>Data!BC66</f>
        <v>Y</v>
      </c>
      <c r="C63" s="529">
        <f>Data!S66</f>
        <v>6342.4446991147406</v>
      </c>
      <c r="D63" s="318">
        <v>30.2</v>
      </c>
      <c r="E63" s="319">
        <v>29.8</v>
      </c>
      <c r="F63" s="319">
        <v>30.5</v>
      </c>
      <c r="G63" s="320">
        <v>31</v>
      </c>
      <c r="H63" s="313">
        <f t="shared" si="10"/>
        <v>922.64</v>
      </c>
      <c r="I63" s="321">
        <v>6.59</v>
      </c>
      <c r="J63" s="319">
        <v>6.63</v>
      </c>
      <c r="K63" s="319">
        <v>6.74</v>
      </c>
      <c r="L63" s="319">
        <v>6.64</v>
      </c>
      <c r="M63" s="315">
        <f t="shared" si="11"/>
        <v>6.65</v>
      </c>
      <c r="N63" s="318">
        <v>23.06</v>
      </c>
      <c r="O63" s="319">
        <v>23.7</v>
      </c>
      <c r="P63" s="336">
        <f t="shared" si="2"/>
        <v>23.7</v>
      </c>
      <c r="Q63" s="510">
        <f t="shared" si="3"/>
        <v>429.23701249499993</v>
      </c>
      <c r="R63" s="319">
        <v>44.12</v>
      </c>
      <c r="S63" s="319">
        <v>43.86</v>
      </c>
      <c r="T63" s="336">
        <f t="shared" si="4"/>
        <v>1519.825215522</v>
      </c>
      <c r="U63" s="319">
        <v>43.73</v>
      </c>
      <c r="V63" s="320">
        <v>37.869999999999997</v>
      </c>
      <c r="W63" s="419">
        <f t="shared" si="5"/>
        <v>1300.6615354022499</v>
      </c>
      <c r="X63" s="423">
        <f t="shared" si="6"/>
        <v>1519.825215522</v>
      </c>
      <c r="Y63" s="322">
        <v>2.91</v>
      </c>
      <c r="Z63" s="319">
        <v>2.06</v>
      </c>
      <c r="AA63" s="319">
        <v>3.46</v>
      </c>
      <c r="AB63" s="319">
        <v>2.83</v>
      </c>
      <c r="AC63" s="524">
        <f>IF(Y63="","",AVERAGE(Y63:AB63))</f>
        <v>2.8149999999999999</v>
      </c>
      <c r="AD63" s="319">
        <v>3.27</v>
      </c>
      <c r="AE63" s="319">
        <v>4.01</v>
      </c>
      <c r="AF63" s="319">
        <v>2.75</v>
      </c>
      <c r="AG63" s="319">
        <v>3.49</v>
      </c>
      <c r="AH63" s="549">
        <f t="shared" si="12"/>
        <v>3.38</v>
      </c>
      <c r="AI63" s="515">
        <f t="shared" si="8"/>
        <v>3.0975000000000001</v>
      </c>
    </row>
    <row r="64" spans="1:35">
      <c r="A64" s="317" t="str">
        <f>Data!A67</f>
        <v>HVIL002-HPC-RT-S2-S10.0-0062</v>
      </c>
      <c r="B64" s="497" t="str">
        <f>Data!BC67</f>
        <v>Y</v>
      </c>
      <c r="C64" s="529">
        <f>Data!S67</f>
        <v>2082.9241689169016</v>
      </c>
      <c r="D64" s="318" t="s">
        <v>68</v>
      </c>
      <c r="E64" s="319" t="s">
        <v>68</v>
      </c>
      <c r="F64" s="319" t="s">
        <v>68</v>
      </c>
      <c r="G64" s="320" t="s">
        <v>68</v>
      </c>
      <c r="H64" s="313" t="s">
        <v>68</v>
      </c>
      <c r="I64" s="321" t="s">
        <v>68</v>
      </c>
      <c r="J64" s="319" t="s">
        <v>68</v>
      </c>
      <c r="K64" s="319" t="s">
        <v>68</v>
      </c>
      <c r="L64" s="319" t="s">
        <v>68</v>
      </c>
      <c r="M64" s="315" t="s">
        <v>68</v>
      </c>
      <c r="N64" s="525" t="s">
        <v>68</v>
      </c>
      <c r="O64" s="319" t="s">
        <v>68</v>
      </c>
      <c r="P64" s="319" t="s">
        <v>68</v>
      </c>
      <c r="Q64" s="512" t="s">
        <v>68</v>
      </c>
      <c r="R64" s="319" t="s">
        <v>68</v>
      </c>
      <c r="S64" s="319" t="s">
        <v>68</v>
      </c>
      <c r="T64" s="319" t="s">
        <v>68</v>
      </c>
      <c r="U64" s="319" t="s">
        <v>68</v>
      </c>
      <c r="V64" s="319" t="s">
        <v>68</v>
      </c>
      <c r="W64" s="319" t="s">
        <v>68</v>
      </c>
      <c r="X64" s="319" t="s">
        <v>68</v>
      </c>
      <c r="Y64" s="322" t="s">
        <v>68</v>
      </c>
      <c r="Z64" s="319" t="s">
        <v>68</v>
      </c>
      <c r="AA64" s="319" t="s">
        <v>68</v>
      </c>
      <c r="AB64" s="319" t="s">
        <v>68</v>
      </c>
      <c r="AC64" s="512" t="s">
        <v>68</v>
      </c>
      <c r="AD64" s="319" t="s">
        <v>68</v>
      </c>
      <c r="AE64" s="319" t="s">
        <v>68</v>
      </c>
      <c r="AF64" s="319" t="s">
        <v>68</v>
      </c>
      <c r="AG64" s="319" t="s">
        <v>68</v>
      </c>
      <c r="AH64" s="512" t="s">
        <v>68</v>
      </c>
      <c r="AI64" s="319" t="s">
        <v>68</v>
      </c>
    </row>
    <row r="65" spans="1:35">
      <c r="A65" s="317" t="str">
        <f>Data!A68</f>
        <v>HVIL001-UHMWPE-RT-AL-S10.0-0063</v>
      </c>
      <c r="B65" s="497" t="str">
        <f>Data!BC68</f>
        <v>Y</v>
      </c>
      <c r="C65" s="529">
        <f>Data!S68</f>
        <v>2163.1282815106683</v>
      </c>
      <c r="D65" s="318"/>
      <c r="E65" s="319"/>
      <c r="F65" s="319"/>
      <c r="G65" s="320"/>
      <c r="H65" s="313" t="str">
        <f t="shared" si="10"/>
        <v/>
      </c>
      <c r="I65" s="321"/>
      <c r="J65" s="319"/>
      <c r="K65" s="319"/>
      <c r="L65" s="319"/>
      <c r="M65" s="315" t="str">
        <f t="shared" si="11"/>
        <v/>
      </c>
      <c r="N65" s="318"/>
      <c r="O65" s="319"/>
      <c r="P65" s="336" t="str">
        <f t="shared" si="2"/>
        <v/>
      </c>
      <c r="Q65" s="510" t="str">
        <f t="shared" si="3"/>
        <v/>
      </c>
      <c r="R65" s="319"/>
      <c r="S65" s="319"/>
      <c r="T65" s="336" t="str">
        <f t="shared" si="4"/>
        <v/>
      </c>
      <c r="U65" s="319"/>
      <c r="V65" s="320"/>
      <c r="W65" s="419" t="str">
        <f t="shared" si="5"/>
        <v/>
      </c>
      <c r="X65" s="423" t="str">
        <f t="shared" si="6"/>
        <v/>
      </c>
      <c r="Y65" s="322"/>
      <c r="Z65" s="319"/>
      <c r="AA65" s="319"/>
      <c r="AB65" s="319"/>
      <c r="AC65" s="524" t="str">
        <f t="shared" ref="AC65:AC96" si="13">IF(Y65="","",AVERAGE(Y65:AB65))</f>
        <v/>
      </c>
      <c r="AD65" s="319"/>
      <c r="AE65" s="319"/>
      <c r="AF65" s="319"/>
      <c r="AG65" s="319"/>
      <c r="AH65" s="549" t="str">
        <f t="shared" si="12"/>
        <v/>
      </c>
      <c r="AI65" s="515" t="str">
        <f t="shared" si="8"/>
        <v/>
      </c>
    </row>
    <row r="66" spans="1:35">
      <c r="A66" s="317" t="str">
        <f>Data!A69</f>
        <v>HVIL002-HPC-RT-S2-S10.0-0064</v>
      </c>
      <c r="B66" s="497" t="str">
        <f>Data!BC69</f>
        <v>Y</v>
      </c>
      <c r="C66" s="529">
        <f>Data!S69</f>
        <v>1829.2739812788441</v>
      </c>
      <c r="D66" s="318"/>
      <c r="E66" s="319"/>
      <c r="F66" s="319"/>
      <c r="G66" s="320"/>
      <c r="H66" s="313" t="str">
        <f t="shared" si="10"/>
        <v/>
      </c>
      <c r="I66" s="321"/>
      <c r="J66" s="319"/>
      <c r="K66" s="319"/>
      <c r="L66" s="319"/>
      <c r="M66" s="315" t="str">
        <f t="shared" si="11"/>
        <v/>
      </c>
      <c r="N66" s="318"/>
      <c r="O66" s="319"/>
      <c r="P66" s="336" t="str">
        <f t="shared" si="2"/>
        <v/>
      </c>
      <c r="Q66" s="510" t="str">
        <f t="shared" si="3"/>
        <v/>
      </c>
      <c r="R66" s="319"/>
      <c r="S66" s="319"/>
      <c r="T66" s="336" t="str">
        <f t="shared" si="4"/>
        <v/>
      </c>
      <c r="U66" s="319"/>
      <c r="V66" s="320"/>
      <c r="W66" s="419" t="str">
        <f t="shared" si="5"/>
        <v/>
      </c>
      <c r="X66" s="423" t="str">
        <f t="shared" si="6"/>
        <v/>
      </c>
      <c r="Y66" s="322"/>
      <c r="Z66" s="319"/>
      <c r="AA66" s="319"/>
      <c r="AB66" s="319"/>
      <c r="AC66" s="524" t="str">
        <f t="shared" si="13"/>
        <v/>
      </c>
      <c r="AD66" s="319"/>
      <c r="AE66" s="319"/>
      <c r="AF66" s="319"/>
      <c r="AG66" s="319"/>
      <c r="AH66" s="549" t="str">
        <f t="shared" si="12"/>
        <v/>
      </c>
      <c r="AI66" s="515" t="str">
        <f t="shared" si="8"/>
        <v/>
      </c>
    </row>
    <row r="67" spans="1:35">
      <c r="A67" s="317" t="str">
        <f>Data!A70</f>
        <v>HVIL002-HPC-RT-S2-S10.0-0065</v>
      </c>
      <c r="B67" s="497" t="str">
        <f>Data!BC70</f>
        <v>Y</v>
      </c>
      <c r="C67" s="529">
        <f>Data!S70</f>
        <v>1952.8908310981305</v>
      </c>
      <c r="D67" s="318"/>
      <c r="E67" s="319"/>
      <c r="F67" s="319"/>
      <c r="G67" s="320"/>
      <c r="H67" s="313" t="str">
        <f t="shared" ref="H67:H68" si="14">IF(D67="","",AVERAGE(E67,G67)*AVERAGE(D67,F67))</f>
        <v/>
      </c>
      <c r="I67" s="321"/>
      <c r="J67" s="319"/>
      <c r="K67" s="319"/>
      <c r="L67" s="319"/>
      <c r="M67" s="315" t="str">
        <f t="shared" ref="M67:M68" si="15">IF(I67="","",AVERAGE(I67:L67))</f>
        <v/>
      </c>
      <c r="N67" s="318"/>
      <c r="O67" s="319"/>
      <c r="P67" s="336" t="str">
        <f t="shared" si="2"/>
        <v/>
      </c>
      <c r="Q67" s="510" t="str">
        <f t="shared" si="3"/>
        <v/>
      </c>
      <c r="R67" s="319"/>
      <c r="S67" s="319"/>
      <c r="T67" s="336" t="str">
        <f t="shared" si="4"/>
        <v/>
      </c>
      <c r="U67" s="319"/>
      <c r="V67" s="320"/>
      <c r="W67" s="419" t="str">
        <f t="shared" si="5"/>
        <v/>
      </c>
      <c r="X67" s="423" t="str">
        <f t="shared" si="6"/>
        <v/>
      </c>
      <c r="Y67" s="322"/>
      <c r="Z67" s="319"/>
      <c r="AA67" s="319"/>
      <c r="AB67" s="319"/>
      <c r="AC67" s="524" t="str">
        <f t="shared" si="13"/>
        <v/>
      </c>
      <c r="AD67" s="319"/>
      <c r="AE67" s="319"/>
      <c r="AF67" s="319"/>
      <c r="AG67" s="319"/>
      <c r="AH67" s="549" t="str">
        <f t="shared" si="12"/>
        <v/>
      </c>
      <c r="AI67" s="515" t="str">
        <f t="shared" si="8"/>
        <v/>
      </c>
    </row>
    <row r="68" spans="1:35">
      <c r="A68" s="500" t="str">
        <f>Data!A71</f>
        <v>HVIL002-HPC-RT-S2-S10.0-0066</v>
      </c>
      <c r="B68" s="501" t="str">
        <f>Data!BC71</f>
        <v>Y</v>
      </c>
      <c r="C68" s="529">
        <f>Data!S71</f>
        <v>1904.902528899705</v>
      </c>
      <c r="D68" s="502"/>
      <c r="E68" s="329"/>
      <c r="F68" s="329"/>
      <c r="G68" s="503"/>
      <c r="H68" s="324" t="str">
        <f t="shared" si="14"/>
        <v/>
      </c>
      <c r="I68" s="328"/>
      <c r="J68" s="329"/>
      <c r="K68" s="329"/>
      <c r="L68" s="329"/>
      <c r="M68" s="504" t="str">
        <f t="shared" si="15"/>
        <v/>
      </c>
      <c r="N68" s="502"/>
      <c r="O68" s="329"/>
      <c r="P68" s="505" t="str">
        <f t="shared" ref="P68" si="16">IF(N68="","",IF(N68&gt;O68,N68,O68))</f>
        <v/>
      </c>
      <c r="Q68" s="511" t="str">
        <f t="shared" ref="Q68" si="17">IF(N68="","",3.14159*(N68/2)*(O68/2))</f>
        <v/>
      </c>
      <c r="R68" s="329"/>
      <c r="S68" s="329"/>
      <c r="T68" s="418" t="str">
        <f t="shared" si="4"/>
        <v/>
      </c>
      <c r="U68" s="329"/>
      <c r="V68" s="503"/>
      <c r="W68" s="506" t="str">
        <f t="shared" si="5"/>
        <v/>
      </c>
      <c r="X68" s="507" t="str">
        <f t="shared" ref="X68" si="18">IF(W68="","",IF(W68&gt;T68,W68,T68))</f>
        <v/>
      </c>
      <c r="Y68" s="508"/>
      <c r="Z68" s="329"/>
      <c r="AA68" s="329"/>
      <c r="AB68" s="329"/>
      <c r="AC68" s="524" t="str">
        <f t="shared" si="13"/>
        <v/>
      </c>
      <c r="AD68" s="329"/>
      <c r="AE68" s="329"/>
      <c r="AF68" s="329"/>
      <c r="AG68" s="329"/>
      <c r="AH68" s="549" t="str">
        <f t="shared" si="12"/>
        <v/>
      </c>
      <c r="AI68" s="515" t="str">
        <f t="shared" ref="AI68:AI121" si="19">IF(AH68="","",AVERAGE(AH68,AC68))</f>
        <v/>
      </c>
    </row>
    <row r="69" spans="1:35">
      <c r="A69" s="499" t="str">
        <f>Data!A72</f>
        <v>HVIL001-UHMWPE-RT-AL-S10.0-0067</v>
      </c>
      <c r="B69" s="526" t="str">
        <f>Data!BC72</f>
        <v>Y</v>
      </c>
      <c r="C69" s="529">
        <f>Data!S72</f>
        <v>6536.8463507728411</v>
      </c>
      <c r="D69" s="319"/>
      <c r="E69" s="319"/>
      <c r="F69" s="319"/>
      <c r="G69" s="319"/>
      <c r="H69" s="319"/>
      <c r="I69" s="319"/>
      <c r="J69" s="319"/>
      <c r="K69" s="319"/>
      <c r="L69" s="319"/>
      <c r="M69" s="319"/>
      <c r="N69" s="319"/>
      <c r="O69" s="319"/>
      <c r="P69" s="319"/>
      <c r="Q69" s="512"/>
      <c r="R69" s="319"/>
      <c r="S69" s="319"/>
      <c r="T69" s="319"/>
      <c r="U69" s="319"/>
      <c r="V69" s="319"/>
      <c r="W69" s="319"/>
      <c r="X69" s="319"/>
      <c r="Y69" s="319"/>
      <c r="Z69" s="319"/>
      <c r="AA69" s="319"/>
      <c r="AB69" s="319"/>
      <c r="AC69" s="524" t="str">
        <f t="shared" si="13"/>
        <v/>
      </c>
      <c r="AD69" s="319"/>
      <c r="AE69" s="319"/>
      <c r="AF69" s="319"/>
      <c r="AG69" s="319"/>
      <c r="AH69" s="549" t="str">
        <f t="shared" si="12"/>
        <v/>
      </c>
      <c r="AI69" s="515" t="str">
        <f t="shared" si="19"/>
        <v/>
      </c>
    </row>
    <row r="70" spans="1:35">
      <c r="A70" s="499" t="str">
        <f>Data!A73</f>
        <v>HVIL005-ACC-RT-NY-S04.0-0068</v>
      </c>
      <c r="B70" s="526" t="str">
        <f>Data!BC73</f>
        <v>Y</v>
      </c>
      <c r="C70" s="529">
        <f>Data!S73</f>
        <v>2255.8436332208498</v>
      </c>
      <c r="D70" s="319"/>
      <c r="E70" s="319"/>
      <c r="F70" s="319"/>
      <c r="G70" s="319"/>
      <c r="H70" s="319"/>
      <c r="I70" s="319"/>
      <c r="J70" s="319"/>
      <c r="K70" s="319"/>
      <c r="L70" s="319"/>
      <c r="M70" s="319"/>
      <c r="N70" s="319"/>
      <c r="O70" s="319"/>
      <c r="P70" s="319"/>
      <c r="Q70" s="512"/>
      <c r="R70" s="319"/>
      <c r="S70" s="319"/>
      <c r="T70" s="319"/>
      <c r="U70" s="319"/>
      <c r="V70" s="319"/>
      <c r="W70" s="319"/>
      <c r="X70" s="319"/>
      <c r="Y70" s="319"/>
      <c r="Z70" s="319"/>
      <c r="AA70" s="319"/>
      <c r="AB70" s="319"/>
      <c r="AC70" s="524" t="str">
        <f t="shared" si="13"/>
        <v/>
      </c>
      <c r="AD70" s="319"/>
      <c r="AE70" s="319"/>
      <c r="AF70" s="319"/>
      <c r="AG70" s="319"/>
      <c r="AH70" s="549" t="str">
        <f t="shared" si="12"/>
        <v/>
      </c>
      <c r="AI70" s="515" t="str">
        <f t="shared" si="19"/>
        <v/>
      </c>
    </row>
    <row r="71" spans="1:35">
      <c r="A71" s="499" t="str">
        <f>Data!A74</f>
        <v>HVIL001-UHMWPE-RT-AL-S10.0-0069</v>
      </c>
      <c r="B71" s="526" t="str">
        <f>Data!BC74</f>
        <v>Y</v>
      </c>
      <c r="C71" s="529">
        <f>Data!S74</f>
        <v>6295.467571826196</v>
      </c>
      <c r="D71" s="319"/>
      <c r="E71" s="319"/>
      <c r="F71" s="319"/>
      <c r="G71" s="319"/>
      <c r="H71" s="319"/>
      <c r="I71" s="319"/>
      <c r="J71" s="319"/>
      <c r="K71" s="319"/>
      <c r="L71" s="319"/>
      <c r="M71" s="319"/>
      <c r="N71" s="319"/>
      <c r="O71" s="319"/>
      <c r="P71" s="319"/>
      <c r="Q71" s="512"/>
      <c r="R71" s="319"/>
      <c r="S71" s="319"/>
      <c r="T71" s="319"/>
      <c r="U71" s="319"/>
      <c r="V71" s="319"/>
      <c r="W71" s="319"/>
      <c r="X71" s="319"/>
      <c r="Y71" s="319"/>
      <c r="Z71" s="319"/>
      <c r="AA71" s="319"/>
      <c r="AB71" s="319"/>
      <c r="AC71" s="524" t="str">
        <f t="shared" si="13"/>
        <v/>
      </c>
      <c r="AD71" s="319"/>
      <c r="AE71" s="319"/>
      <c r="AF71" s="319"/>
      <c r="AG71" s="319"/>
      <c r="AH71" s="549" t="str">
        <f t="shared" si="12"/>
        <v/>
      </c>
      <c r="AI71" s="515" t="str">
        <f t="shared" si="19"/>
        <v/>
      </c>
    </row>
    <row r="72" spans="1:35">
      <c r="A72" s="499" t="str">
        <f>Data!A75</f>
        <v>HVIL001-UHMWPE-RT-AL-S10.0-0070</v>
      </c>
      <c r="B72" s="526" t="str">
        <f>Data!BC75</f>
        <v>Y</v>
      </c>
      <c r="C72" s="529">
        <f>Data!S75</f>
        <v>6252.6683262082097</v>
      </c>
      <c r="D72" s="319"/>
      <c r="E72" s="319"/>
      <c r="F72" s="319"/>
      <c r="G72" s="319"/>
      <c r="H72" s="319"/>
      <c r="I72" s="319"/>
      <c r="J72" s="319"/>
      <c r="K72" s="319"/>
      <c r="L72" s="319"/>
      <c r="M72" s="319"/>
      <c r="N72" s="319"/>
      <c r="O72" s="319"/>
      <c r="P72" s="319"/>
      <c r="Q72" s="512"/>
      <c r="R72" s="319"/>
      <c r="S72" s="319"/>
      <c r="T72" s="319"/>
      <c r="U72" s="319"/>
      <c r="V72" s="319"/>
      <c r="W72" s="319"/>
      <c r="X72" s="319"/>
      <c r="Y72" s="319"/>
      <c r="Z72" s="319"/>
      <c r="AA72" s="319"/>
      <c r="AB72" s="319"/>
      <c r="AC72" s="524" t="str">
        <f t="shared" si="13"/>
        <v/>
      </c>
      <c r="AD72" s="319"/>
      <c r="AE72" s="319"/>
      <c r="AF72" s="319"/>
      <c r="AG72" s="319"/>
      <c r="AH72" s="549" t="str">
        <f t="shared" si="12"/>
        <v/>
      </c>
      <c r="AI72" s="515" t="str">
        <f t="shared" si="19"/>
        <v/>
      </c>
    </row>
    <row r="73" spans="1:35">
      <c r="A73" s="499" t="str">
        <f>Data!A76</f>
        <v>HVIL001-HDPE-RT-AL-S10.0-0071</v>
      </c>
      <c r="B73" s="526" t="str">
        <f>Data!BC76</f>
        <v>N</v>
      </c>
      <c r="C73" s="529" t="str">
        <f>Data!S76</f>
        <v>N/R</v>
      </c>
      <c r="D73" s="319"/>
      <c r="E73" s="319"/>
      <c r="F73" s="319"/>
      <c r="G73" s="319"/>
      <c r="H73" s="319"/>
      <c r="I73" s="319"/>
      <c r="J73" s="319"/>
      <c r="K73" s="319"/>
      <c r="L73" s="319"/>
      <c r="M73" s="319"/>
      <c r="N73" s="319"/>
      <c r="O73" s="319"/>
      <c r="P73" s="319"/>
      <c r="Q73" s="512"/>
      <c r="R73" s="319"/>
      <c r="S73" s="319"/>
      <c r="T73" s="319"/>
      <c r="U73" s="319"/>
      <c r="V73" s="319"/>
      <c r="W73" s="319"/>
      <c r="X73" s="319"/>
      <c r="Y73" s="319"/>
      <c r="Z73" s="319"/>
      <c r="AA73" s="319"/>
      <c r="AB73" s="319"/>
      <c r="AC73" s="524" t="str">
        <f t="shared" si="13"/>
        <v/>
      </c>
      <c r="AD73" s="319"/>
      <c r="AE73" s="319"/>
      <c r="AF73" s="319"/>
      <c r="AG73" s="319"/>
      <c r="AH73" s="549" t="str">
        <f t="shared" si="12"/>
        <v/>
      </c>
      <c r="AI73" s="515" t="str">
        <f t="shared" si="19"/>
        <v/>
      </c>
    </row>
    <row r="74" spans="1:35">
      <c r="A74" s="499" t="str">
        <f>Data!A77</f>
        <v>HVIL001-HDPE-RT-AL-S10.0-0072</v>
      </c>
      <c r="B74" s="526" t="str">
        <f>Data!BC77</f>
        <v>N</v>
      </c>
      <c r="C74" s="529" t="str">
        <f>Data!S77</f>
        <v>N/R</v>
      </c>
      <c r="D74" s="319"/>
      <c r="E74" s="319"/>
      <c r="F74" s="319"/>
      <c r="G74" s="319"/>
      <c r="H74" s="319"/>
      <c r="I74" s="319"/>
      <c r="J74" s="319"/>
      <c r="K74" s="319"/>
      <c r="L74" s="319"/>
      <c r="M74" s="319"/>
      <c r="N74" s="319"/>
      <c r="O74" s="319"/>
      <c r="P74" s="319"/>
      <c r="Q74" s="512"/>
      <c r="R74" s="319"/>
      <c r="S74" s="319"/>
      <c r="T74" s="319"/>
      <c r="U74" s="319"/>
      <c r="V74" s="319"/>
      <c r="W74" s="319"/>
      <c r="X74" s="319"/>
      <c r="Y74" s="319"/>
      <c r="Z74" s="319"/>
      <c r="AA74" s="319"/>
      <c r="AB74" s="319"/>
      <c r="AC74" s="524" t="str">
        <f t="shared" si="13"/>
        <v/>
      </c>
      <c r="AD74" s="319"/>
      <c r="AE74" s="319"/>
      <c r="AF74" s="319"/>
      <c r="AG74" s="319"/>
      <c r="AH74" s="549" t="str">
        <f t="shared" si="12"/>
        <v/>
      </c>
      <c r="AI74" s="515" t="str">
        <f t="shared" si="19"/>
        <v/>
      </c>
    </row>
    <row r="75" spans="1:35">
      <c r="A75" s="499" t="str">
        <f>Data!A78</f>
        <v>HVIL001-HDPE-RT-AL-S10.0-0073</v>
      </c>
      <c r="B75" s="526" t="str">
        <f>Data!BC78</f>
        <v>Y</v>
      </c>
      <c r="C75" s="529">
        <f>Data!S78</f>
        <v>5854.9732494078862</v>
      </c>
      <c r="D75" s="319"/>
      <c r="E75" s="319"/>
      <c r="F75" s="319"/>
      <c r="G75" s="319"/>
      <c r="H75" s="319"/>
      <c r="I75" s="319"/>
      <c r="J75" s="319"/>
      <c r="K75" s="319"/>
      <c r="L75" s="319"/>
      <c r="M75" s="319"/>
      <c r="N75" s="319"/>
      <c r="O75" s="319"/>
      <c r="P75" s="319"/>
      <c r="Q75" s="512"/>
      <c r="R75" s="319"/>
      <c r="S75" s="319"/>
      <c r="T75" s="319"/>
      <c r="U75" s="319"/>
      <c r="V75" s="319"/>
      <c r="W75" s="319"/>
      <c r="X75" s="319"/>
      <c r="Y75" s="319"/>
      <c r="Z75" s="319"/>
      <c r="AA75" s="319"/>
      <c r="AB75" s="319"/>
      <c r="AC75" s="524" t="str">
        <f t="shared" si="13"/>
        <v/>
      </c>
      <c r="AD75" s="319"/>
      <c r="AE75" s="319"/>
      <c r="AF75" s="319"/>
      <c r="AG75" s="319"/>
      <c r="AH75" s="549" t="str">
        <f t="shared" si="12"/>
        <v/>
      </c>
      <c r="AI75" s="515" t="str">
        <f t="shared" si="19"/>
        <v/>
      </c>
    </row>
    <row r="76" spans="1:35">
      <c r="A76" s="499" t="str">
        <f>Data!A79</f>
        <v>HVIL003-PMMA-RT-AL-S04.0-0074</v>
      </c>
      <c r="B76" s="526" t="str">
        <f>Data!BC79</f>
        <v>N</v>
      </c>
      <c r="C76" s="529">
        <f>Data!S79</f>
        <v>6484.1080455569108</v>
      </c>
      <c r="D76" s="319"/>
      <c r="E76" s="319"/>
      <c r="F76" s="319"/>
      <c r="G76" s="319"/>
      <c r="H76" s="319"/>
      <c r="I76" s="319"/>
      <c r="J76" s="319"/>
      <c r="K76" s="319"/>
      <c r="L76" s="319"/>
      <c r="M76" s="319"/>
      <c r="N76" s="319"/>
      <c r="O76" s="319"/>
      <c r="P76" s="319"/>
      <c r="Q76" s="512"/>
      <c r="R76" s="319"/>
      <c r="S76" s="319"/>
      <c r="T76" s="319"/>
      <c r="U76" s="319"/>
      <c r="V76" s="319"/>
      <c r="W76" s="319"/>
      <c r="X76" s="319"/>
      <c r="Y76" s="319"/>
      <c r="Z76" s="319"/>
      <c r="AA76" s="319"/>
      <c r="AB76" s="319"/>
      <c r="AC76" s="524" t="str">
        <f t="shared" si="13"/>
        <v/>
      </c>
      <c r="AD76" s="319"/>
      <c r="AE76" s="319"/>
      <c r="AF76" s="319"/>
      <c r="AG76" s="319"/>
      <c r="AH76" s="549" t="str">
        <f t="shared" si="12"/>
        <v/>
      </c>
      <c r="AI76" s="515" t="str">
        <f t="shared" si="19"/>
        <v/>
      </c>
    </row>
    <row r="77" spans="1:35">
      <c r="A77" s="499" t="str">
        <f>Data!A80</f>
        <v>HVIL003-PMMA-RT-AL-S04.0-0075</v>
      </c>
      <c r="B77" s="526" t="str">
        <f>Data!BC80</f>
        <v>Y</v>
      </c>
      <c r="C77" s="529">
        <f>Data!S80</f>
        <v>6161.7746831245749</v>
      </c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512"/>
      <c r="R77" s="319"/>
      <c r="S77" s="319"/>
      <c r="T77" s="319"/>
      <c r="U77" s="319"/>
      <c r="V77" s="319"/>
      <c r="W77" s="319"/>
      <c r="X77" s="319"/>
      <c r="Y77" s="319"/>
      <c r="Z77" s="319"/>
      <c r="AA77" s="319"/>
      <c r="AB77" s="319"/>
      <c r="AC77" s="524" t="str">
        <f t="shared" si="13"/>
        <v/>
      </c>
      <c r="AD77" s="319"/>
      <c r="AE77" s="319"/>
      <c r="AF77" s="319"/>
      <c r="AG77" s="319"/>
      <c r="AH77" s="549" t="str">
        <f t="shared" si="12"/>
        <v/>
      </c>
      <c r="AI77" s="515" t="str">
        <f t="shared" si="19"/>
        <v/>
      </c>
    </row>
    <row r="78" spans="1:35">
      <c r="A78" s="499" t="str">
        <f>Data!A81</f>
        <v>HVIL002-HPC-RT-ST-S10.0-0076</v>
      </c>
      <c r="B78" s="526" t="str">
        <f>Data!BC81</f>
        <v>Y</v>
      </c>
      <c r="C78" s="529">
        <f>Data!S81</f>
        <v>2513.9501608375035</v>
      </c>
      <c r="D78" s="319"/>
      <c r="E78" s="319"/>
      <c r="F78" s="319"/>
      <c r="G78" s="319"/>
      <c r="H78" s="319"/>
      <c r="I78" s="319"/>
      <c r="J78" s="319"/>
      <c r="K78" s="319"/>
      <c r="L78" s="319"/>
      <c r="M78" s="319"/>
      <c r="N78" s="319"/>
      <c r="O78" s="319"/>
      <c r="P78" s="319"/>
      <c r="Q78" s="512"/>
      <c r="R78" s="319"/>
      <c r="S78" s="319"/>
      <c r="T78" s="319"/>
      <c r="U78" s="319"/>
      <c r="V78" s="319"/>
      <c r="W78" s="319"/>
      <c r="X78" s="319"/>
      <c r="Y78" s="319"/>
      <c r="Z78" s="319"/>
      <c r="AA78" s="319"/>
      <c r="AB78" s="319"/>
      <c r="AC78" s="524" t="str">
        <f t="shared" si="13"/>
        <v/>
      </c>
      <c r="AD78" s="319"/>
      <c r="AE78" s="319"/>
      <c r="AF78" s="319"/>
      <c r="AG78" s="319"/>
      <c r="AH78" s="549" t="str">
        <f t="shared" si="12"/>
        <v/>
      </c>
      <c r="AI78" s="515" t="str">
        <f t="shared" si="19"/>
        <v/>
      </c>
    </row>
    <row r="79" spans="1:35">
      <c r="A79" s="499" t="str">
        <f>Data!A82</f>
        <v>HVIL001-UHMWPE-RT-AL-S10.0-0077</v>
      </c>
      <c r="B79" s="526" t="str">
        <f>Data!BC82</f>
        <v>Y</v>
      </c>
      <c r="C79" s="529">
        <f>Data!S82</f>
        <v>4054.4767058555262</v>
      </c>
      <c r="D79" s="319"/>
      <c r="E79" s="319"/>
      <c r="F79" s="319"/>
      <c r="G79" s="319"/>
      <c r="H79" s="319"/>
      <c r="I79" s="319"/>
      <c r="J79" s="319"/>
      <c r="K79" s="319"/>
      <c r="L79" s="319"/>
      <c r="M79" s="319"/>
      <c r="N79" s="319"/>
      <c r="O79" s="319"/>
      <c r="P79" s="319"/>
      <c r="Q79" s="512"/>
      <c r="R79" s="319"/>
      <c r="S79" s="319"/>
      <c r="T79" s="319"/>
      <c r="U79" s="319"/>
      <c r="V79" s="319"/>
      <c r="W79" s="319"/>
      <c r="X79" s="319"/>
      <c r="Y79" s="319"/>
      <c r="Z79" s="319"/>
      <c r="AA79" s="319"/>
      <c r="AB79" s="319"/>
      <c r="AC79" s="524" t="str">
        <f t="shared" si="13"/>
        <v/>
      </c>
      <c r="AD79" s="319"/>
      <c r="AE79" s="319"/>
      <c r="AF79" s="319"/>
      <c r="AG79" s="319"/>
      <c r="AH79" s="549" t="str">
        <f t="shared" si="12"/>
        <v/>
      </c>
      <c r="AI79" s="515" t="str">
        <f t="shared" si="19"/>
        <v/>
      </c>
    </row>
    <row r="80" spans="1:35">
      <c r="A80" s="499" t="str">
        <f>Data!A83</f>
        <v>HVIL005-ACC-RT-NY-S04.0-0078</v>
      </c>
      <c r="B80" s="526" t="str">
        <f>Data!BC83</f>
        <v>Y</v>
      </c>
      <c r="C80" s="529">
        <f>Data!S83</f>
        <v>1876.995774413263</v>
      </c>
      <c r="D80" s="319"/>
      <c r="E80" s="319"/>
      <c r="F80" s="319"/>
      <c r="G80" s="319"/>
      <c r="H80" s="319"/>
      <c r="I80" s="319"/>
      <c r="J80" s="319"/>
      <c r="K80" s="319"/>
      <c r="L80" s="319"/>
      <c r="M80" s="319"/>
      <c r="N80" s="319"/>
      <c r="O80" s="319"/>
      <c r="P80" s="319"/>
      <c r="Q80" s="512"/>
      <c r="R80" s="319"/>
      <c r="S80" s="319"/>
      <c r="T80" s="319"/>
      <c r="U80" s="319"/>
      <c r="V80" s="319"/>
      <c r="W80" s="319"/>
      <c r="X80" s="319"/>
      <c r="Y80" s="319"/>
      <c r="Z80" s="319"/>
      <c r="AA80" s="319"/>
      <c r="AB80" s="319"/>
      <c r="AC80" s="524" t="str">
        <f t="shared" si="13"/>
        <v/>
      </c>
      <c r="AD80" s="319"/>
      <c r="AE80" s="319"/>
      <c r="AF80" s="319"/>
      <c r="AG80" s="319"/>
      <c r="AH80" s="549" t="str">
        <f t="shared" si="12"/>
        <v/>
      </c>
      <c r="AI80" s="515" t="str">
        <f t="shared" si="19"/>
        <v/>
      </c>
    </row>
    <row r="81" spans="1:35">
      <c r="A81" s="499" t="str">
        <f>Data!A84</f>
        <v>HVIL005-ACC-RT-NY-S04.0-0079</v>
      </c>
      <c r="B81" s="526" t="str">
        <f>Data!BC84</f>
        <v>Y</v>
      </c>
      <c r="C81" s="529">
        <f>Data!S84</f>
        <v>1971.1323203780705</v>
      </c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512"/>
      <c r="R81" s="319"/>
      <c r="S81" s="319"/>
      <c r="T81" s="319"/>
      <c r="U81" s="319"/>
      <c r="V81" s="319"/>
      <c r="W81" s="319"/>
      <c r="X81" s="319"/>
      <c r="Y81" s="319"/>
      <c r="Z81" s="319"/>
      <c r="AA81" s="319"/>
      <c r="AB81" s="319"/>
      <c r="AC81" s="524" t="str">
        <f t="shared" si="13"/>
        <v/>
      </c>
      <c r="AD81" s="319"/>
      <c r="AE81" s="319"/>
      <c r="AF81" s="319"/>
      <c r="AG81" s="319"/>
      <c r="AH81" s="549" t="str">
        <f t="shared" si="12"/>
        <v/>
      </c>
      <c r="AI81" s="515" t="str">
        <f t="shared" si="19"/>
        <v/>
      </c>
    </row>
    <row r="82" spans="1:35">
      <c r="A82" s="499" t="str">
        <f>Data!A85</f>
        <v>HVIL002-HPC-RT-ST-S10.0-0080</v>
      </c>
      <c r="B82" s="526" t="str">
        <f>Data!BC85</f>
        <v>Y</v>
      </c>
      <c r="C82" s="529">
        <f>Data!S85</f>
        <v>2033.7881496032053</v>
      </c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512"/>
      <c r="R82" s="319"/>
      <c r="S82" s="319"/>
      <c r="T82" s="319"/>
      <c r="U82" s="319"/>
      <c r="V82" s="319"/>
      <c r="W82" s="319"/>
      <c r="X82" s="319"/>
      <c r="Y82" s="319"/>
      <c r="Z82" s="319"/>
      <c r="AA82" s="319"/>
      <c r="AB82" s="319"/>
      <c r="AC82" s="524" t="str">
        <f t="shared" si="13"/>
        <v/>
      </c>
      <c r="AD82" s="319"/>
      <c r="AE82" s="319"/>
      <c r="AF82" s="319"/>
      <c r="AG82" s="319"/>
      <c r="AH82" s="549" t="str">
        <f t="shared" si="12"/>
        <v/>
      </c>
      <c r="AI82" s="515" t="str">
        <f t="shared" si="19"/>
        <v/>
      </c>
    </row>
    <row r="83" spans="1:35">
      <c r="A83" s="499" t="str">
        <f>Data!A86</f>
        <v>HVIL001-UHMWPE-RT-AL-S10.0-0081</v>
      </c>
      <c r="B83" s="526" t="str">
        <f>Data!BC86</f>
        <v>Y</v>
      </c>
      <c r="C83" s="529">
        <f>Data!S86</f>
        <v>2625.8349104681324</v>
      </c>
      <c r="D83" s="319"/>
      <c r="E83" s="319"/>
      <c r="F83" s="319"/>
      <c r="G83" s="319"/>
      <c r="H83" s="319"/>
      <c r="I83" s="319"/>
      <c r="J83" s="319"/>
      <c r="K83" s="319"/>
      <c r="L83" s="319"/>
      <c r="M83" s="319"/>
      <c r="N83" s="319"/>
      <c r="O83" s="319"/>
      <c r="P83" s="319"/>
      <c r="Q83" s="512"/>
      <c r="R83" s="319"/>
      <c r="S83" s="319"/>
      <c r="T83" s="319"/>
      <c r="U83" s="319"/>
      <c r="V83" s="319"/>
      <c r="W83" s="319"/>
      <c r="X83" s="319"/>
      <c r="Y83" s="319"/>
      <c r="Z83" s="319"/>
      <c r="AA83" s="319"/>
      <c r="AB83" s="319"/>
      <c r="AC83" s="524" t="str">
        <f t="shared" si="13"/>
        <v/>
      </c>
      <c r="AD83" s="319"/>
      <c r="AE83" s="319"/>
      <c r="AF83" s="319"/>
      <c r="AG83" s="319"/>
      <c r="AH83" s="549" t="str">
        <f t="shared" si="12"/>
        <v/>
      </c>
      <c r="AI83" s="515" t="str">
        <f t="shared" si="19"/>
        <v/>
      </c>
    </row>
    <row r="84" spans="1:35">
      <c r="A84" s="499" t="str">
        <f>Data!A87</f>
        <v>HVIL001-UHMWPE-RT-AL-S10.0-0082</v>
      </c>
      <c r="B84" s="526" t="str">
        <f>Data!BC87</f>
        <v>Y</v>
      </c>
      <c r="C84" s="529">
        <f>Data!S87</f>
        <v>3106.7341507316578</v>
      </c>
      <c r="D84" s="319"/>
      <c r="E84" s="319"/>
      <c r="F84" s="319"/>
      <c r="G84" s="319"/>
      <c r="H84" s="319"/>
      <c r="I84" s="319"/>
      <c r="J84" s="319"/>
      <c r="K84" s="319"/>
      <c r="L84" s="319"/>
      <c r="M84" s="319"/>
      <c r="N84" s="319"/>
      <c r="O84" s="319"/>
      <c r="P84" s="319"/>
      <c r="Q84" s="512"/>
      <c r="R84" s="319"/>
      <c r="S84" s="319"/>
      <c r="T84" s="319"/>
      <c r="U84" s="319"/>
      <c r="V84" s="319"/>
      <c r="W84" s="319"/>
      <c r="X84" s="319"/>
      <c r="Y84" s="319"/>
      <c r="Z84" s="319"/>
      <c r="AA84" s="319"/>
      <c r="AB84" s="319"/>
      <c r="AC84" s="524" t="str">
        <f t="shared" si="13"/>
        <v/>
      </c>
      <c r="AD84" s="319"/>
      <c r="AE84" s="319"/>
      <c r="AF84" s="319"/>
      <c r="AG84" s="319"/>
      <c r="AH84" s="549" t="str">
        <f t="shared" si="12"/>
        <v/>
      </c>
      <c r="AI84" s="515" t="str">
        <f t="shared" si="19"/>
        <v/>
      </c>
    </row>
    <row r="85" spans="1:35">
      <c r="A85" s="499" t="str">
        <f>Data!A88</f>
        <v>HVIL001-UHMWPE-RT-AL-S10.0-0083</v>
      </c>
      <c r="B85" s="526" t="str">
        <f>Data!BC88</f>
        <v>Y</v>
      </c>
      <c r="C85" s="529">
        <f>Data!S88</f>
        <v>3233.7638055035945</v>
      </c>
      <c r="D85" s="319"/>
      <c r="E85" s="319"/>
      <c r="F85" s="319"/>
      <c r="G85" s="319"/>
      <c r="H85" s="319"/>
      <c r="I85" s="319"/>
      <c r="J85" s="319"/>
      <c r="K85" s="319"/>
      <c r="L85" s="319"/>
      <c r="M85" s="319"/>
      <c r="N85" s="319"/>
      <c r="O85" s="319"/>
      <c r="P85" s="319"/>
      <c r="Q85" s="512"/>
      <c r="R85" s="319"/>
      <c r="S85" s="319"/>
      <c r="T85" s="319"/>
      <c r="U85" s="319"/>
      <c r="V85" s="319"/>
      <c r="W85" s="319"/>
      <c r="X85" s="319"/>
      <c r="Y85" s="319"/>
      <c r="Z85" s="319"/>
      <c r="AA85" s="319"/>
      <c r="AB85" s="319"/>
      <c r="AC85" s="524" t="str">
        <f t="shared" si="13"/>
        <v/>
      </c>
      <c r="AD85" s="319"/>
      <c r="AE85" s="319"/>
      <c r="AF85" s="319"/>
      <c r="AG85" s="319"/>
      <c r="AH85" s="549" t="str">
        <f t="shared" si="12"/>
        <v/>
      </c>
      <c r="AI85" s="515" t="str">
        <f t="shared" si="19"/>
        <v/>
      </c>
    </row>
    <row r="86" spans="1:35">
      <c r="A86" s="499" t="str">
        <f>Data!A89</f>
        <v>HVIL001-UHMWPE-RT-AL-S10.0-0084</v>
      </c>
      <c r="B86" s="526" t="str">
        <f>Data!BC89</f>
        <v>Y</v>
      </c>
      <c r="C86" s="529">
        <f>Data!S89</f>
        <v>3496.4900892163246</v>
      </c>
      <c r="D86" s="319"/>
      <c r="E86" s="319"/>
      <c r="F86" s="319"/>
      <c r="G86" s="319"/>
      <c r="H86" s="319"/>
      <c r="I86" s="319"/>
      <c r="J86" s="319"/>
      <c r="K86" s="319"/>
      <c r="L86" s="319"/>
      <c r="M86" s="319"/>
      <c r="N86" s="319"/>
      <c r="O86" s="319"/>
      <c r="P86" s="319"/>
      <c r="Q86" s="512"/>
      <c r="R86" s="319"/>
      <c r="S86" s="319"/>
      <c r="T86" s="319"/>
      <c r="U86" s="319"/>
      <c r="V86" s="319"/>
      <c r="W86" s="319"/>
      <c r="X86" s="319"/>
      <c r="Y86" s="319"/>
      <c r="Z86" s="319"/>
      <c r="AA86" s="319"/>
      <c r="AB86" s="319"/>
      <c r="AC86" s="524" t="str">
        <f t="shared" si="13"/>
        <v/>
      </c>
      <c r="AD86" s="319"/>
      <c r="AE86" s="319"/>
      <c r="AF86" s="319"/>
      <c r="AG86" s="319"/>
      <c r="AH86" s="549" t="str">
        <f t="shared" si="12"/>
        <v/>
      </c>
      <c r="AI86" s="515" t="str">
        <f t="shared" si="19"/>
        <v/>
      </c>
    </row>
    <row r="87" spans="1:35">
      <c r="A87" s="499" t="str">
        <f>Data!A90</f>
        <v>HVIL001-HDPE-RT-AL-S10.0-0085</v>
      </c>
      <c r="B87" s="526" t="str">
        <f>Data!BC90</f>
        <v>Y</v>
      </c>
      <c r="C87" s="529">
        <f>Data!S90</f>
        <v>3106.9136845318139</v>
      </c>
      <c r="D87" s="319"/>
      <c r="E87" s="319"/>
      <c r="F87" s="319"/>
      <c r="G87" s="319"/>
      <c r="H87" s="319"/>
      <c r="I87" s="319"/>
      <c r="J87" s="319"/>
      <c r="K87" s="319"/>
      <c r="L87" s="319"/>
      <c r="M87" s="319"/>
      <c r="N87" s="319"/>
      <c r="O87" s="319"/>
      <c r="P87" s="319"/>
      <c r="Q87" s="512"/>
      <c r="R87" s="319"/>
      <c r="S87" s="319"/>
      <c r="T87" s="319"/>
      <c r="U87" s="319"/>
      <c r="V87" s="319"/>
      <c r="W87" s="319"/>
      <c r="X87" s="319"/>
      <c r="Y87" s="319"/>
      <c r="Z87" s="319"/>
      <c r="AA87" s="319"/>
      <c r="AB87" s="319"/>
      <c r="AC87" s="524" t="str">
        <f t="shared" si="13"/>
        <v/>
      </c>
      <c r="AD87" s="319"/>
      <c r="AE87" s="319"/>
      <c r="AF87" s="319"/>
      <c r="AG87" s="319"/>
      <c r="AH87" s="549" t="str">
        <f t="shared" si="12"/>
        <v/>
      </c>
      <c r="AI87" s="515" t="str">
        <f t="shared" si="19"/>
        <v/>
      </c>
    </row>
    <row r="88" spans="1:35">
      <c r="A88" s="499" t="str">
        <f>Data!A91</f>
        <v>HVIL001-HDPE-RT-AL-S10.0-0086</v>
      </c>
      <c r="B88" s="526" t="str">
        <f>Data!BC91</f>
        <v>Y</v>
      </c>
      <c r="C88" s="529">
        <f>Data!S91</f>
        <v>3807.2950310992551</v>
      </c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19"/>
      <c r="P88" s="319"/>
      <c r="Q88" s="512"/>
      <c r="R88" s="319"/>
      <c r="S88" s="319"/>
      <c r="T88" s="319"/>
      <c r="U88" s="319"/>
      <c r="V88" s="319"/>
      <c r="W88" s="319"/>
      <c r="X88" s="319"/>
      <c r="Y88" s="319"/>
      <c r="Z88" s="319"/>
      <c r="AA88" s="319"/>
      <c r="AB88" s="319"/>
      <c r="AC88" s="524" t="str">
        <f t="shared" si="13"/>
        <v/>
      </c>
      <c r="AD88" s="319"/>
      <c r="AE88" s="319"/>
      <c r="AF88" s="319"/>
      <c r="AG88" s="319"/>
      <c r="AH88" s="549" t="str">
        <f t="shared" si="12"/>
        <v/>
      </c>
      <c r="AI88" s="515" t="str">
        <f t="shared" si="19"/>
        <v/>
      </c>
    </row>
    <row r="89" spans="1:35">
      <c r="A89" s="499" t="str">
        <f>Data!A92</f>
        <v>HVIL002-HPC-RT-S2-S10.0-0087</v>
      </c>
      <c r="B89" s="526" t="str">
        <f>Data!BC92</f>
        <v>Y</v>
      </c>
      <c r="C89" s="529">
        <f>Data!S92</f>
        <v>2264.1999999999998</v>
      </c>
      <c r="D89" s="319"/>
      <c r="E89" s="319"/>
      <c r="F89" s="319"/>
      <c r="G89" s="319"/>
      <c r="H89" s="319"/>
      <c r="I89" s="319"/>
      <c r="J89" s="319"/>
      <c r="K89" s="319"/>
      <c r="L89" s="319"/>
      <c r="M89" s="319"/>
      <c r="N89" s="319"/>
      <c r="O89" s="319"/>
      <c r="P89" s="319"/>
      <c r="Q89" s="512"/>
      <c r="R89" s="319"/>
      <c r="S89" s="319"/>
      <c r="T89" s="319"/>
      <c r="U89" s="319"/>
      <c r="V89" s="319"/>
      <c r="W89" s="319"/>
      <c r="X89" s="319"/>
      <c r="Y89" s="319"/>
      <c r="Z89" s="319"/>
      <c r="AA89" s="319"/>
      <c r="AB89" s="319"/>
      <c r="AC89" s="524" t="str">
        <f t="shared" si="13"/>
        <v/>
      </c>
      <c r="AD89" s="319"/>
      <c r="AE89" s="319"/>
      <c r="AF89" s="319"/>
      <c r="AG89" s="319"/>
      <c r="AH89" s="549" t="str">
        <f t="shared" si="12"/>
        <v/>
      </c>
      <c r="AI89" s="515" t="str">
        <f t="shared" si="19"/>
        <v/>
      </c>
    </row>
    <row r="90" spans="1:35">
      <c r="A90" s="499" t="str">
        <f>Data!A93</f>
        <v>HVIL002-HPC-RT-S2-S10.0-0088</v>
      </c>
      <c r="B90" s="526" t="str">
        <f>Data!BC93</f>
        <v>Y</v>
      </c>
      <c r="C90" s="529">
        <f>Data!S93</f>
        <v>1823.4</v>
      </c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512"/>
      <c r="R90" s="319"/>
      <c r="S90" s="319"/>
      <c r="T90" s="319"/>
      <c r="U90" s="319"/>
      <c r="V90" s="319"/>
      <c r="W90" s="319"/>
      <c r="X90" s="319"/>
      <c r="Y90" s="319"/>
      <c r="Z90" s="319"/>
      <c r="AA90" s="319"/>
      <c r="AB90" s="319"/>
      <c r="AC90" s="524" t="str">
        <f t="shared" si="13"/>
        <v/>
      </c>
      <c r="AD90" s="319"/>
      <c r="AE90" s="319"/>
      <c r="AF90" s="319"/>
      <c r="AG90" s="319"/>
      <c r="AH90" s="549" t="str">
        <f t="shared" si="12"/>
        <v/>
      </c>
      <c r="AI90" s="515" t="str">
        <f t="shared" si="19"/>
        <v/>
      </c>
    </row>
    <row r="91" spans="1:35">
      <c r="A91" s="499" t="str">
        <f>Data!A94</f>
        <v>HVIL001-HDPE-RT-AL-S10.0-0089</v>
      </c>
      <c r="B91" s="526" t="str">
        <f>Data!BC94</f>
        <v>N</v>
      </c>
      <c r="C91" s="529">
        <f>Data!S94</f>
        <v>5933.1</v>
      </c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512"/>
      <c r="R91" s="319"/>
      <c r="S91" s="319"/>
      <c r="T91" s="319"/>
      <c r="U91" s="319"/>
      <c r="V91" s="319"/>
      <c r="W91" s="319"/>
      <c r="X91" s="319"/>
      <c r="Y91" s="319"/>
      <c r="Z91" s="319"/>
      <c r="AA91" s="319"/>
      <c r="AB91" s="319"/>
      <c r="AC91" s="524" t="str">
        <f t="shared" si="13"/>
        <v/>
      </c>
      <c r="AD91" s="319"/>
      <c r="AE91" s="319"/>
      <c r="AF91" s="319"/>
      <c r="AG91" s="319"/>
      <c r="AH91" s="549" t="str">
        <f t="shared" si="12"/>
        <v/>
      </c>
      <c r="AI91" s="515" t="str">
        <f t="shared" si="19"/>
        <v/>
      </c>
    </row>
    <row r="92" spans="1:35">
      <c r="A92" s="499" t="str">
        <f>Data!A95</f>
        <v>HVIL001-HDPE-RT-AL-S10.0-0090</v>
      </c>
      <c r="B92" s="526" t="str">
        <f>Data!BC95</f>
        <v>Y</v>
      </c>
      <c r="C92" s="529">
        <f>Data!S95</f>
        <v>3896.5</v>
      </c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19"/>
      <c r="P92" s="319"/>
      <c r="Q92" s="512"/>
      <c r="R92" s="319"/>
      <c r="S92" s="319"/>
      <c r="T92" s="319"/>
      <c r="U92" s="319"/>
      <c r="V92" s="319"/>
      <c r="W92" s="319"/>
      <c r="X92" s="319"/>
      <c r="Y92" s="319"/>
      <c r="Z92" s="319"/>
      <c r="AA92" s="319"/>
      <c r="AB92" s="319"/>
      <c r="AC92" s="524" t="str">
        <f t="shared" si="13"/>
        <v/>
      </c>
      <c r="AD92" s="319"/>
      <c r="AE92" s="319"/>
      <c r="AF92" s="319"/>
      <c r="AG92" s="319"/>
      <c r="AH92" s="549" t="str">
        <f t="shared" si="12"/>
        <v/>
      </c>
      <c r="AI92" s="515" t="str">
        <f t="shared" si="19"/>
        <v/>
      </c>
    </row>
    <row r="93" spans="1:35">
      <c r="A93" s="499" t="str">
        <f>Data!A96</f>
        <v>HVIL001-WATER-RT-PC-C12.7-0091</v>
      </c>
      <c r="B93" s="526" t="str">
        <f>Data!BC96</f>
        <v>Y</v>
      </c>
      <c r="C93" s="529">
        <f>Data!S96</f>
        <v>2433.5</v>
      </c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512"/>
      <c r="R93" s="319"/>
      <c r="S93" s="319"/>
      <c r="T93" s="319"/>
      <c r="U93" s="319"/>
      <c r="V93" s="319"/>
      <c r="W93" s="319"/>
      <c r="X93" s="319"/>
      <c r="Y93" s="319"/>
      <c r="Z93" s="319"/>
      <c r="AA93" s="319"/>
      <c r="AB93" s="319"/>
      <c r="AC93" s="524" t="str">
        <f t="shared" si="13"/>
        <v/>
      </c>
      <c r="AD93" s="319"/>
      <c r="AE93" s="319"/>
      <c r="AF93" s="319"/>
      <c r="AG93" s="319"/>
      <c r="AH93" s="549" t="str">
        <f t="shared" si="12"/>
        <v/>
      </c>
      <c r="AI93" s="515" t="str">
        <f t="shared" si="19"/>
        <v/>
      </c>
    </row>
    <row r="94" spans="1:35">
      <c r="A94" s="499" t="str">
        <f>Data!A97</f>
        <v>HVIL001-WATER-RT-PC-C12.7-0092</v>
      </c>
      <c r="B94" s="526" t="str">
        <f>Data!BC97</f>
        <v>Y</v>
      </c>
      <c r="C94" s="529">
        <f>Data!S97</f>
        <v>2669.7</v>
      </c>
      <c r="D94" s="319"/>
      <c r="E94" s="319"/>
      <c r="F94" s="319"/>
      <c r="G94" s="319"/>
      <c r="H94" s="319"/>
      <c r="I94" s="319"/>
      <c r="J94" s="319"/>
      <c r="K94" s="319"/>
      <c r="L94" s="319"/>
      <c r="M94" s="319"/>
      <c r="N94" s="319"/>
      <c r="O94" s="319"/>
      <c r="P94" s="319"/>
      <c r="Q94" s="512"/>
      <c r="R94" s="319"/>
      <c r="S94" s="319"/>
      <c r="T94" s="319"/>
      <c r="U94" s="319"/>
      <c r="V94" s="319"/>
      <c r="W94" s="319"/>
      <c r="X94" s="319"/>
      <c r="Y94" s="319"/>
      <c r="Z94" s="319"/>
      <c r="AA94" s="319"/>
      <c r="AB94" s="319"/>
      <c r="AC94" s="524" t="str">
        <f t="shared" si="13"/>
        <v/>
      </c>
      <c r="AD94" s="319"/>
      <c r="AE94" s="319"/>
      <c r="AF94" s="319"/>
      <c r="AG94" s="319"/>
      <c r="AH94" s="549" t="str">
        <f t="shared" si="12"/>
        <v/>
      </c>
      <c r="AI94" s="515" t="str">
        <f t="shared" si="19"/>
        <v/>
      </c>
    </row>
    <row r="95" spans="1:35">
      <c r="A95" s="499" t="str">
        <f>Data!A98</f>
        <v>HVIL001-UHMWPE-RT-AL-S10.0-0093</v>
      </c>
      <c r="B95" s="526" t="str">
        <f>Data!BC98</f>
        <v>Y</v>
      </c>
      <c r="C95" s="529">
        <f>Data!S98</f>
        <v>2434.9</v>
      </c>
      <c r="D95" s="319"/>
      <c r="E95" s="319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512"/>
      <c r="R95" s="319"/>
      <c r="S95" s="319"/>
      <c r="T95" s="319"/>
      <c r="U95" s="319"/>
      <c r="V95" s="319"/>
      <c r="W95" s="319"/>
      <c r="X95" s="319"/>
      <c r="Y95" s="319"/>
      <c r="Z95" s="319"/>
      <c r="AA95" s="319"/>
      <c r="AB95" s="319"/>
      <c r="AC95" s="524" t="str">
        <f t="shared" si="13"/>
        <v/>
      </c>
      <c r="AD95" s="319"/>
      <c r="AE95" s="319"/>
      <c r="AF95" s="319"/>
      <c r="AG95" s="319"/>
      <c r="AH95" s="549" t="str">
        <f t="shared" si="12"/>
        <v/>
      </c>
      <c r="AI95" s="515" t="str">
        <f t="shared" si="19"/>
        <v/>
      </c>
    </row>
    <row r="96" spans="1:35">
      <c r="A96" s="499" t="str">
        <f>Data!A99</f>
        <v>HVIL005-ACC-RT-NY-S04.0-0094</v>
      </c>
      <c r="B96" s="526" t="str">
        <f>Data!BC99</f>
        <v>Y</v>
      </c>
      <c r="C96" s="529" t="str">
        <f>Data!S99</f>
        <v>ITAR</v>
      </c>
      <c r="D96" s="319"/>
      <c r="E96" s="319"/>
      <c r="F96" s="319"/>
      <c r="G96" s="319"/>
      <c r="H96" s="319"/>
      <c r="I96" s="319"/>
      <c r="J96" s="319"/>
      <c r="K96" s="319"/>
      <c r="L96" s="319"/>
      <c r="M96" s="319"/>
      <c r="N96" s="319"/>
      <c r="O96" s="319"/>
      <c r="P96" s="319"/>
      <c r="Q96" s="512"/>
      <c r="R96" s="319"/>
      <c r="S96" s="319"/>
      <c r="T96" s="319"/>
      <c r="U96" s="319"/>
      <c r="V96" s="319"/>
      <c r="W96" s="319"/>
      <c r="X96" s="319"/>
      <c r="Y96" s="319"/>
      <c r="Z96" s="319"/>
      <c r="AA96" s="319"/>
      <c r="AB96" s="319"/>
      <c r="AC96" s="524" t="str">
        <f t="shared" si="13"/>
        <v/>
      </c>
      <c r="AD96" s="319"/>
      <c r="AE96" s="319"/>
      <c r="AF96" s="319"/>
      <c r="AG96" s="319"/>
      <c r="AH96" s="549" t="str">
        <f t="shared" si="12"/>
        <v/>
      </c>
      <c r="AI96" s="515" t="str">
        <f t="shared" si="19"/>
        <v/>
      </c>
    </row>
    <row r="97" spans="1:35">
      <c r="A97" s="499" t="str">
        <f>Data!A100</f>
        <v>HVIL001-HDPE-RT-AL-S10.0-0095</v>
      </c>
      <c r="B97" s="526" t="str">
        <f>Data!BC100</f>
        <v>Y</v>
      </c>
      <c r="C97" s="529">
        <f>Data!S100</f>
        <v>2397.1999999999998</v>
      </c>
      <c r="D97" s="319"/>
      <c r="E97" s="319"/>
      <c r="F97" s="319"/>
      <c r="G97" s="319"/>
      <c r="H97" s="319"/>
      <c r="I97" s="319"/>
      <c r="J97" s="319"/>
      <c r="K97" s="319"/>
      <c r="L97" s="319"/>
      <c r="M97" s="319"/>
      <c r="N97" s="319"/>
      <c r="O97" s="319"/>
      <c r="P97" s="319"/>
      <c r="Q97" s="512"/>
      <c r="R97" s="319"/>
      <c r="S97" s="319"/>
      <c r="T97" s="319"/>
      <c r="U97" s="319"/>
      <c r="V97" s="319"/>
      <c r="W97" s="319"/>
      <c r="X97" s="319"/>
      <c r="Y97" s="319"/>
      <c r="Z97" s="319"/>
      <c r="AA97" s="319"/>
      <c r="AB97" s="319"/>
      <c r="AC97" s="524" t="str">
        <f t="shared" ref="AC97:AC121" si="20">IF(Y97="","",AVERAGE(Y97:AB97))</f>
        <v/>
      </c>
      <c r="AD97" s="319"/>
      <c r="AE97" s="319"/>
      <c r="AF97" s="319"/>
      <c r="AG97" s="319"/>
      <c r="AH97" s="549" t="str">
        <f t="shared" si="12"/>
        <v/>
      </c>
      <c r="AI97" s="515" t="str">
        <f t="shared" si="19"/>
        <v/>
      </c>
    </row>
    <row r="98" spans="1:35">
      <c r="A98" s="499" t="str">
        <f>Data!A101</f>
        <v>HVIL001-HDPE-RT-AL-S10.0-0096</v>
      </c>
      <c r="B98" s="526" t="str">
        <f>Data!BC101</f>
        <v>Y</v>
      </c>
      <c r="C98" s="529">
        <f>Data!S101</f>
        <v>1966.3</v>
      </c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512"/>
      <c r="R98" s="319"/>
      <c r="S98" s="319"/>
      <c r="T98" s="319"/>
      <c r="U98" s="319"/>
      <c r="V98" s="319"/>
      <c r="W98" s="319"/>
      <c r="X98" s="319"/>
      <c r="Y98" s="319"/>
      <c r="Z98" s="319"/>
      <c r="AA98" s="319"/>
      <c r="AB98" s="319"/>
      <c r="AC98" s="524" t="str">
        <f t="shared" si="20"/>
        <v/>
      </c>
      <c r="AD98" s="319"/>
      <c r="AE98" s="319"/>
      <c r="AF98" s="319"/>
      <c r="AG98" s="319"/>
      <c r="AH98" s="549" t="str">
        <f t="shared" si="12"/>
        <v/>
      </c>
      <c r="AI98" s="515" t="str">
        <f t="shared" si="19"/>
        <v/>
      </c>
    </row>
    <row r="99" spans="1:35">
      <c r="A99" s="499" t="str">
        <f>Data!A102</f>
        <v>HVIL002-HPC-RT-S2-S10.0-0097</v>
      </c>
      <c r="B99" s="526"/>
      <c r="C99" s="529">
        <f>Data!S102</f>
        <v>2611.6</v>
      </c>
      <c r="D99" s="319"/>
      <c r="E99" s="319"/>
      <c r="F99" s="319"/>
      <c r="G99" s="319"/>
      <c r="H99" s="319"/>
      <c r="I99" s="319"/>
      <c r="J99" s="319"/>
      <c r="K99" s="319"/>
      <c r="L99" s="319"/>
      <c r="M99" s="319"/>
      <c r="N99" s="319"/>
      <c r="O99" s="319"/>
      <c r="P99" s="319"/>
      <c r="Q99" s="512"/>
      <c r="R99" s="319"/>
      <c r="S99" s="319"/>
      <c r="T99" s="319"/>
      <c r="U99" s="319"/>
      <c r="V99" s="319"/>
      <c r="W99" s="319"/>
      <c r="X99" s="319"/>
      <c r="Y99" s="319"/>
      <c r="Z99" s="319"/>
      <c r="AA99" s="319"/>
      <c r="AB99" s="319"/>
      <c r="AC99" s="524" t="str">
        <f t="shared" si="20"/>
        <v/>
      </c>
      <c r="AD99" s="319"/>
      <c r="AE99" s="319"/>
      <c r="AF99" s="319"/>
      <c r="AG99" s="319"/>
      <c r="AH99" s="549" t="str">
        <f t="shared" ref="AH99:AH121" si="21">IF(AD99="","",AVERAGE(AD99:AG99))</f>
        <v/>
      </c>
      <c r="AI99" s="515" t="str">
        <f t="shared" si="19"/>
        <v/>
      </c>
    </row>
    <row r="100" spans="1:35">
      <c r="A100" s="499" t="str">
        <f>Data!A103</f>
        <v/>
      </c>
      <c r="B100" s="526"/>
      <c r="C100" s="529" t="str">
        <f>Data!S103</f>
        <v/>
      </c>
      <c r="D100" s="319"/>
      <c r="E100" s="319"/>
      <c r="F100" s="319"/>
      <c r="G100" s="319"/>
      <c r="H100" s="319"/>
      <c r="I100" s="319"/>
      <c r="J100" s="319"/>
      <c r="K100" s="319"/>
      <c r="L100" s="319"/>
      <c r="M100" s="319"/>
      <c r="N100" s="319"/>
      <c r="O100" s="319"/>
      <c r="P100" s="319"/>
      <c r="Q100" s="512"/>
      <c r="R100" s="319"/>
      <c r="S100" s="319"/>
      <c r="T100" s="319"/>
      <c r="U100" s="319"/>
      <c r="V100" s="319"/>
      <c r="W100" s="319"/>
      <c r="X100" s="319"/>
      <c r="Y100" s="319"/>
      <c r="Z100" s="319"/>
      <c r="AA100" s="319"/>
      <c r="AB100" s="319"/>
      <c r="AC100" s="524" t="str">
        <f t="shared" si="20"/>
        <v/>
      </c>
      <c r="AD100" s="319"/>
      <c r="AE100" s="319"/>
      <c r="AF100" s="319"/>
      <c r="AG100" s="319"/>
      <c r="AH100" s="549" t="str">
        <f t="shared" si="21"/>
        <v/>
      </c>
      <c r="AI100" s="515" t="str">
        <f t="shared" si="19"/>
        <v/>
      </c>
    </row>
    <row r="101" spans="1:35">
      <c r="A101" s="499" t="str">
        <f>Data!A104</f>
        <v/>
      </c>
      <c r="B101" s="526"/>
      <c r="C101" s="529" t="str">
        <f>Data!S104</f>
        <v/>
      </c>
      <c r="D101" s="319"/>
      <c r="E101" s="319"/>
      <c r="F101" s="319"/>
      <c r="G101" s="319"/>
      <c r="H101" s="319"/>
      <c r="I101" s="319"/>
      <c r="J101" s="319"/>
      <c r="K101" s="319"/>
      <c r="L101" s="319"/>
      <c r="M101" s="319"/>
      <c r="N101" s="319"/>
      <c r="O101" s="319"/>
      <c r="P101" s="319"/>
      <c r="Q101" s="512"/>
      <c r="R101" s="319"/>
      <c r="S101" s="319"/>
      <c r="T101" s="319"/>
      <c r="U101" s="319"/>
      <c r="V101" s="319"/>
      <c r="W101" s="319"/>
      <c r="X101" s="319"/>
      <c r="Y101" s="319"/>
      <c r="Z101" s="319"/>
      <c r="AA101" s="319"/>
      <c r="AB101" s="319"/>
      <c r="AC101" s="524" t="str">
        <f t="shared" si="20"/>
        <v/>
      </c>
      <c r="AD101" s="319"/>
      <c r="AE101" s="319"/>
      <c r="AF101" s="319"/>
      <c r="AG101" s="319"/>
      <c r="AH101" s="549" t="str">
        <f t="shared" si="21"/>
        <v/>
      </c>
      <c r="AI101" s="515" t="str">
        <f t="shared" si="19"/>
        <v/>
      </c>
    </row>
    <row r="102" spans="1:35">
      <c r="A102" s="499" t="str">
        <f>Data!A105</f>
        <v/>
      </c>
      <c r="B102" s="526"/>
      <c r="C102" s="529" t="str">
        <f>Data!S105</f>
        <v/>
      </c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512"/>
      <c r="R102" s="319"/>
      <c r="S102" s="319"/>
      <c r="T102" s="319"/>
      <c r="U102" s="319"/>
      <c r="V102" s="319"/>
      <c r="W102" s="319"/>
      <c r="X102" s="319"/>
      <c r="Y102" s="319"/>
      <c r="Z102" s="319"/>
      <c r="AA102" s="319"/>
      <c r="AB102" s="319"/>
      <c r="AC102" s="524" t="str">
        <f t="shared" si="20"/>
        <v/>
      </c>
      <c r="AD102" s="319"/>
      <c r="AE102" s="319"/>
      <c r="AF102" s="319"/>
      <c r="AG102" s="319"/>
      <c r="AH102" s="549" t="str">
        <f t="shared" si="21"/>
        <v/>
      </c>
      <c r="AI102" s="515" t="str">
        <f t="shared" si="19"/>
        <v/>
      </c>
    </row>
    <row r="103" spans="1:35">
      <c r="A103" s="499" t="str">
        <f>Data!A106</f>
        <v/>
      </c>
      <c r="B103" s="526"/>
      <c r="C103" s="529" t="str">
        <f>Data!S106</f>
        <v/>
      </c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512"/>
      <c r="R103" s="319"/>
      <c r="S103" s="319"/>
      <c r="T103" s="319"/>
      <c r="U103" s="319"/>
      <c r="V103" s="319"/>
      <c r="W103" s="319"/>
      <c r="X103" s="319"/>
      <c r="Y103" s="319"/>
      <c r="Z103" s="319"/>
      <c r="AA103" s="319"/>
      <c r="AB103" s="319"/>
      <c r="AC103" s="524" t="str">
        <f t="shared" si="20"/>
        <v/>
      </c>
      <c r="AD103" s="319"/>
      <c r="AE103" s="319"/>
      <c r="AF103" s="319"/>
      <c r="AG103" s="319"/>
      <c r="AH103" s="549" t="str">
        <f t="shared" si="21"/>
        <v/>
      </c>
      <c r="AI103" s="515" t="str">
        <f t="shared" si="19"/>
        <v/>
      </c>
    </row>
    <row r="104" spans="1:35">
      <c r="A104" s="499" t="str">
        <f>Data!A107</f>
        <v/>
      </c>
      <c r="B104" s="526"/>
      <c r="C104" s="529" t="str">
        <f>Data!S107</f>
        <v/>
      </c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512"/>
      <c r="R104" s="319"/>
      <c r="S104" s="319"/>
      <c r="T104" s="319"/>
      <c r="U104" s="319"/>
      <c r="V104" s="319"/>
      <c r="W104" s="319"/>
      <c r="X104" s="319"/>
      <c r="Y104" s="319"/>
      <c r="Z104" s="319"/>
      <c r="AA104" s="319"/>
      <c r="AB104" s="319"/>
      <c r="AC104" s="524" t="str">
        <f t="shared" si="20"/>
        <v/>
      </c>
      <c r="AD104" s="319"/>
      <c r="AE104" s="319"/>
      <c r="AF104" s="319"/>
      <c r="AG104" s="319"/>
      <c r="AH104" s="549" t="str">
        <f t="shared" si="21"/>
        <v/>
      </c>
      <c r="AI104" s="515" t="str">
        <f t="shared" si="19"/>
        <v/>
      </c>
    </row>
    <row r="105" spans="1:35">
      <c r="A105" s="499"/>
      <c r="B105" s="526"/>
      <c r="C105" s="529">
        <f>Data!S108</f>
        <v>0</v>
      </c>
      <c r="D105" s="319"/>
      <c r="E105" s="319"/>
      <c r="F105" s="319"/>
      <c r="G105" s="319"/>
      <c r="H105" s="319"/>
      <c r="I105" s="319"/>
      <c r="J105" s="319"/>
      <c r="K105" s="319"/>
      <c r="L105" s="319"/>
      <c r="M105" s="319"/>
      <c r="N105" s="319"/>
      <c r="O105" s="319"/>
      <c r="P105" s="319"/>
      <c r="Q105" s="512"/>
      <c r="R105" s="319"/>
      <c r="S105" s="319"/>
      <c r="T105" s="319"/>
      <c r="U105" s="319"/>
      <c r="V105" s="319"/>
      <c r="W105" s="319"/>
      <c r="X105" s="319"/>
      <c r="Y105" s="319"/>
      <c r="Z105" s="319"/>
      <c r="AA105" s="319"/>
      <c r="AB105" s="319"/>
      <c r="AC105" s="524" t="str">
        <f t="shared" si="20"/>
        <v/>
      </c>
      <c r="AD105" s="319"/>
      <c r="AE105" s="319"/>
      <c r="AF105" s="319"/>
      <c r="AG105" s="319"/>
      <c r="AH105" s="549" t="str">
        <f t="shared" si="21"/>
        <v/>
      </c>
      <c r="AI105" s="515" t="str">
        <f t="shared" si="19"/>
        <v/>
      </c>
    </row>
    <row r="106" spans="1:35">
      <c r="A106" s="499"/>
      <c r="B106" s="526"/>
      <c r="C106" s="529">
        <f>Data!S109</f>
        <v>0</v>
      </c>
      <c r="D106" s="319"/>
      <c r="E106" s="319"/>
      <c r="F106" s="319"/>
      <c r="G106" s="319"/>
      <c r="H106" s="319"/>
      <c r="I106" s="319"/>
      <c r="J106" s="319"/>
      <c r="K106" s="319"/>
      <c r="L106" s="319"/>
      <c r="M106" s="319"/>
      <c r="N106" s="319"/>
      <c r="O106" s="319"/>
      <c r="P106" s="319"/>
      <c r="Q106" s="512"/>
      <c r="R106" s="319"/>
      <c r="S106" s="319"/>
      <c r="T106" s="319"/>
      <c r="U106" s="319"/>
      <c r="V106" s="319"/>
      <c r="W106" s="319"/>
      <c r="X106" s="319"/>
      <c r="Y106" s="319"/>
      <c r="Z106" s="319"/>
      <c r="AA106" s="319"/>
      <c r="AB106" s="319"/>
      <c r="AC106" s="524" t="str">
        <f t="shared" si="20"/>
        <v/>
      </c>
      <c r="AD106" s="319"/>
      <c r="AE106" s="319"/>
      <c r="AF106" s="319"/>
      <c r="AG106" s="319"/>
      <c r="AH106" s="549" t="str">
        <f t="shared" si="21"/>
        <v/>
      </c>
      <c r="AI106" s="515" t="str">
        <f t="shared" si="19"/>
        <v/>
      </c>
    </row>
    <row r="107" spans="1:35">
      <c r="A107" s="499"/>
      <c r="B107" s="526"/>
      <c r="C107" s="529">
        <f>Data!S110</f>
        <v>0</v>
      </c>
      <c r="D107" s="319"/>
      <c r="E107" s="319"/>
      <c r="F107" s="319"/>
      <c r="G107" s="319"/>
      <c r="H107" s="319"/>
      <c r="I107" s="319"/>
      <c r="J107" s="319"/>
      <c r="K107" s="319"/>
      <c r="L107" s="319"/>
      <c r="M107" s="319"/>
      <c r="N107" s="319"/>
      <c r="O107" s="319"/>
      <c r="P107" s="319"/>
      <c r="Q107" s="512"/>
      <c r="R107" s="319"/>
      <c r="S107" s="319"/>
      <c r="T107" s="319"/>
      <c r="U107" s="319"/>
      <c r="V107" s="319"/>
      <c r="W107" s="319"/>
      <c r="X107" s="319"/>
      <c r="Y107" s="319"/>
      <c r="Z107" s="319"/>
      <c r="AA107" s="319"/>
      <c r="AB107" s="319"/>
      <c r="AC107" s="524" t="str">
        <f t="shared" si="20"/>
        <v/>
      </c>
      <c r="AD107" s="319"/>
      <c r="AE107" s="319"/>
      <c r="AF107" s="319"/>
      <c r="AG107" s="319"/>
      <c r="AH107" s="549" t="str">
        <f t="shared" si="21"/>
        <v/>
      </c>
      <c r="AI107" s="515" t="str">
        <f t="shared" si="19"/>
        <v/>
      </c>
    </row>
    <row r="108" spans="1:35">
      <c r="A108" s="499"/>
      <c r="B108" s="526"/>
      <c r="C108" s="529">
        <f>Data!S111</f>
        <v>0</v>
      </c>
      <c r="D108" s="319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19"/>
      <c r="P108" s="319"/>
      <c r="Q108" s="512"/>
      <c r="R108" s="319"/>
      <c r="S108" s="319"/>
      <c r="T108" s="319"/>
      <c r="U108" s="319"/>
      <c r="V108" s="319"/>
      <c r="W108" s="319"/>
      <c r="X108" s="319"/>
      <c r="Y108" s="319"/>
      <c r="Z108" s="319"/>
      <c r="AA108" s="319"/>
      <c r="AB108" s="319"/>
      <c r="AC108" s="524" t="str">
        <f t="shared" si="20"/>
        <v/>
      </c>
      <c r="AD108" s="319"/>
      <c r="AE108" s="319"/>
      <c r="AF108" s="319"/>
      <c r="AG108" s="319"/>
      <c r="AH108" s="549" t="str">
        <f t="shared" si="21"/>
        <v/>
      </c>
      <c r="AI108" s="515" t="str">
        <f t="shared" si="19"/>
        <v/>
      </c>
    </row>
    <row r="109" spans="1:35">
      <c r="A109" s="499"/>
      <c r="B109" s="526"/>
      <c r="C109" s="529">
        <f>Data!S112</f>
        <v>0</v>
      </c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512"/>
      <c r="R109" s="319"/>
      <c r="S109" s="319"/>
      <c r="T109" s="319"/>
      <c r="U109" s="319"/>
      <c r="V109" s="319"/>
      <c r="W109" s="319"/>
      <c r="X109" s="319"/>
      <c r="Y109" s="319"/>
      <c r="Z109" s="319"/>
      <c r="AA109" s="319"/>
      <c r="AB109" s="319"/>
      <c r="AC109" s="524" t="str">
        <f t="shared" si="20"/>
        <v/>
      </c>
      <c r="AD109" s="319"/>
      <c r="AE109" s="319"/>
      <c r="AF109" s="319"/>
      <c r="AG109" s="319"/>
      <c r="AH109" s="549" t="str">
        <f t="shared" si="21"/>
        <v/>
      </c>
      <c r="AI109" s="515" t="str">
        <f t="shared" si="19"/>
        <v/>
      </c>
    </row>
    <row r="110" spans="1:35">
      <c r="A110" s="499"/>
      <c r="B110" s="526"/>
      <c r="C110" s="529">
        <f>Data!S113</f>
        <v>0</v>
      </c>
      <c r="D110" s="319"/>
      <c r="E110" s="319"/>
      <c r="F110" s="319"/>
      <c r="G110" s="319"/>
      <c r="H110" s="319"/>
      <c r="I110" s="319"/>
      <c r="J110" s="319"/>
      <c r="K110" s="319"/>
      <c r="L110" s="319"/>
      <c r="M110" s="319"/>
      <c r="N110" s="319"/>
      <c r="O110" s="319"/>
      <c r="P110" s="319"/>
      <c r="Q110" s="512"/>
      <c r="R110" s="319"/>
      <c r="S110" s="319"/>
      <c r="T110" s="319"/>
      <c r="U110" s="319"/>
      <c r="V110" s="319"/>
      <c r="W110" s="319"/>
      <c r="X110" s="319"/>
      <c r="Y110" s="319"/>
      <c r="Z110" s="319"/>
      <c r="AA110" s="319"/>
      <c r="AB110" s="319"/>
      <c r="AC110" s="524" t="str">
        <f t="shared" si="20"/>
        <v/>
      </c>
      <c r="AD110" s="319"/>
      <c r="AE110" s="319"/>
      <c r="AF110" s="319"/>
      <c r="AG110" s="319"/>
      <c r="AH110" s="549" t="str">
        <f t="shared" si="21"/>
        <v/>
      </c>
      <c r="AI110" s="515" t="str">
        <f t="shared" si="19"/>
        <v/>
      </c>
    </row>
    <row r="111" spans="1:35">
      <c r="A111" s="499"/>
      <c r="B111" s="526"/>
      <c r="C111" s="529">
        <f>Data!S114</f>
        <v>0</v>
      </c>
      <c r="D111" s="319"/>
      <c r="E111" s="319"/>
      <c r="F111" s="319"/>
      <c r="G111" s="319"/>
      <c r="H111" s="319"/>
      <c r="I111" s="319"/>
      <c r="J111" s="319"/>
      <c r="K111" s="319"/>
      <c r="L111" s="319"/>
      <c r="M111" s="319"/>
      <c r="N111" s="319"/>
      <c r="O111" s="319"/>
      <c r="P111" s="319"/>
      <c r="Q111" s="512"/>
      <c r="R111" s="319"/>
      <c r="S111" s="319"/>
      <c r="T111" s="319"/>
      <c r="U111" s="319"/>
      <c r="V111" s="319"/>
      <c r="W111" s="319"/>
      <c r="X111" s="319"/>
      <c r="Y111" s="319"/>
      <c r="Z111" s="319"/>
      <c r="AA111" s="319"/>
      <c r="AB111" s="319"/>
      <c r="AC111" s="524" t="str">
        <f t="shared" si="20"/>
        <v/>
      </c>
      <c r="AD111" s="319"/>
      <c r="AE111" s="319"/>
      <c r="AF111" s="319"/>
      <c r="AG111" s="319"/>
      <c r="AH111" s="549" t="str">
        <f t="shared" si="21"/>
        <v/>
      </c>
      <c r="AI111" s="515" t="str">
        <f t="shared" si="19"/>
        <v/>
      </c>
    </row>
    <row r="112" spans="1:35">
      <c r="A112" s="499"/>
      <c r="B112" s="526"/>
      <c r="C112" s="529">
        <f>Data!S115</f>
        <v>0</v>
      </c>
      <c r="D112" s="319"/>
      <c r="E112" s="319"/>
      <c r="F112" s="319"/>
      <c r="G112" s="319"/>
      <c r="H112" s="319"/>
      <c r="I112" s="319"/>
      <c r="J112" s="319"/>
      <c r="K112" s="319"/>
      <c r="L112" s="319"/>
      <c r="M112" s="319"/>
      <c r="N112" s="319"/>
      <c r="O112" s="319"/>
      <c r="P112" s="319"/>
      <c r="Q112" s="512"/>
      <c r="R112" s="319"/>
      <c r="S112" s="319"/>
      <c r="T112" s="319"/>
      <c r="U112" s="319"/>
      <c r="V112" s="319"/>
      <c r="W112" s="319"/>
      <c r="X112" s="319"/>
      <c r="Y112" s="319"/>
      <c r="Z112" s="319"/>
      <c r="AA112" s="319"/>
      <c r="AB112" s="319"/>
      <c r="AC112" s="524" t="str">
        <f t="shared" si="20"/>
        <v/>
      </c>
      <c r="AD112" s="319"/>
      <c r="AE112" s="319"/>
      <c r="AF112" s="319"/>
      <c r="AG112" s="319"/>
      <c r="AH112" s="549" t="str">
        <f t="shared" si="21"/>
        <v/>
      </c>
      <c r="AI112" s="515" t="str">
        <f t="shared" si="19"/>
        <v/>
      </c>
    </row>
    <row r="113" spans="1:35">
      <c r="A113" s="499"/>
      <c r="B113" s="526"/>
      <c r="C113" s="529">
        <f>Data!S116</f>
        <v>0</v>
      </c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512"/>
      <c r="R113" s="319"/>
      <c r="S113" s="319"/>
      <c r="T113" s="319"/>
      <c r="U113" s="319"/>
      <c r="V113" s="319"/>
      <c r="W113" s="319"/>
      <c r="X113" s="319"/>
      <c r="Y113" s="319"/>
      <c r="Z113" s="319"/>
      <c r="AA113" s="319"/>
      <c r="AB113" s="319"/>
      <c r="AC113" s="524" t="str">
        <f t="shared" si="20"/>
        <v/>
      </c>
      <c r="AD113" s="319"/>
      <c r="AE113" s="319"/>
      <c r="AF113" s="319"/>
      <c r="AG113" s="319"/>
      <c r="AH113" s="549" t="str">
        <f t="shared" si="21"/>
        <v/>
      </c>
      <c r="AI113" s="515" t="str">
        <f t="shared" si="19"/>
        <v/>
      </c>
    </row>
    <row r="114" spans="1:35">
      <c r="A114" s="499"/>
      <c r="B114" s="526"/>
      <c r="C114" s="529">
        <f>Data!S117</f>
        <v>0</v>
      </c>
      <c r="D114" s="319"/>
      <c r="E114" s="319"/>
      <c r="F114" s="319"/>
      <c r="G114" s="319"/>
      <c r="H114" s="319"/>
      <c r="I114" s="319"/>
      <c r="J114" s="319"/>
      <c r="K114" s="319"/>
      <c r="L114" s="319"/>
      <c r="M114" s="319"/>
      <c r="N114" s="319"/>
      <c r="O114" s="319"/>
      <c r="P114" s="319"/>
      <c r="Q114" s="512"/>
      <c r="R114" s="319"/>
      <c r="S114" s="319"/>
      <c r="T114" s="319"/>
      <c r="U114" s="319"/>
      <c r="V114" s="319"/>
      <c r="W114" s="319"/>
      <c r="X114" s="319"/>
      <c r="Y114" s="319"/>
      <c r="Z114" s="319"/>
      <c r="AA114" s="319"/>
      <c r="AB114" s="319"/>
      <c r="AC114" s="524" t="str">
        <f t="shared" si="20"/>
        <v/>
      </c>
      <c r="AD114" s="319"/>
      <c r="AE114" s="319"/>
      <c r="AF114" s="319"/>
      <c r="AG114" s="319"/>
      <c r="AH114" s="549" t="str">
        <f t="shared" si="21"/>
        <v/>
      </c>
      <c r="AI114" s="515" t="str">
        <f t="shared" si="19"/>
        <v/>
      </c>
    </row>
    <row r="115" spans="1:35">
      <c r="A115" s="499"/>
      <c r="B115" s="526"/>
      <c r="C115" s="529">
        <f>Data!S118</f>
        <v>0</v>
      </c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512"/>
      <c r="R115" s="319"/>
      <c r="S115" s="319"/>
      <c r="T115" s="319"/>
      <c r="U115" s="319"/>
      <c r="V115" s="319"/>
      <c r="W115" s="319"/>
      <c r="X115" s="319"/>
      <c r="Y115" s="319"/>
      <c r="Z115" s="319"/>
      <c r="AA115" s="319"/>
      <c r="AB115" s="319"/>
      <c r="AC115" s="524" t="str">
        <f t="shared" si="20"/>
        <v/>
      </c>
      <c r="AD115" s="319"/>
      <c r="AE115" s="319"/>
      <c r="AF115" s="319"/>
      <c r="AG115" s="319"/>
      <c r="AH115" s="549" t="str">
        <f t="shared" si="21"/>
        <v/>
      </c>
      <c r="AI115" s="515" t="str">
        <f t="shared" si="19"/>
        <v/>
      </c>
    </row>
    <row r="116" spans="1:35">
      <c r="A116" s="499"/>
      <c r="B116" s="526"/>
      <c r="C116" s="529">
        <f>Data!S119</f>
        <v>0</v>
      </c>
      <c r="D116" s="319"/>
      <c r="E116" s="319"/>
      <c r="F116" s="319"/>
      <c r="G116" s="319"/>
      <c r="H116" s="319"/>
      <c r="I116" s="319"/>
      <c r="J116" s="319"/>
      <c r="K116" s="319"/>
      <c r="L116" s="319"/>
      <c r="M116" s="319"/>
      <c r="N116" s="319"/>
      <c r="O116" s="319"/>
      <c r="P116" s="319"/>
      <c r="Q116" s="512"/>
      <c r="R116" s="319"/>
      <c r="S116" s="319"/>
      <c r="T116" s="319"/>
      <c r="U116" s="319"/>
      <c r="V116" s="319"/>
      <c r="W116" s="319"/>
      <c r="X116" s="319"/>
      <c r="Y116" s="319"/>
      <c r="Z116" s="319"/>
      <c r="AA116" s="319"/>
      <c r="AB116" s="319"/>
      <c r="AC116" s="524" t="str">
        <f t="shared" si="20"/>
        <v/>
      </c>
      <c r="AD116" s="319"/>
      <c r="AE116" s="319"/>
      <c r="AF116" s="319"/>
      <c r="AG116" s="319"/>
      <c r="AH116" s="549" t="str">
        <f t="shared" si="21"/>
        <v/>
      </c>
      <c r="AI116" s="515" t="str">
        <f t="shared" si="19"/>
        <v/>
      </c>
    </row>
    <row r="117" spans="1:35">
      <c r="A117" s="499"/>
      <c r="B117" s="526"/>
      <c r="C117" s="529">
        <f>Data!S120</f>
        <v>0</v>
      </c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512"/>
      <c r="R117" s="319"/>
      <c r="S117" s="319"/>
      <c r="T117" s="319"/>
      <c r="U117" s="319"/>
      <c r="V117" s="319"/>
      <c r="W117" s="319"/>
      <c r="X117" s="319"/>
      <c r="Y117" s="319"/>
      <c r="Z117" s="319"/>
      <c r="AA117" s="319"/>
      <c r="AB117" s="319"/>
      <c r="AC117" s="524" t="str">
        <f t="shared" si="20"/>
        <v/>
      </c>
      <c r="AD117" s="319"/>
      <c r="AE117" s="319"/>
      <c r="AF117" s="319"/>
      <c r="AG117" s="319"/>
      <c r="AH117" s="549" t="str">
        <f t="shared" si="21"/>
        <v/>
      </c>
      <c r="AI117" s="515" t="str">
        <f t="shared" si="19"/>
        <v/>
      </c>
    </row>
    <row r="118" spans="1:35">
      <c r="A118" s="499"/>
      <c r="B118" s="526"/>
      <c r="C118" s="529">
        <f>Data!S121</f>
        <v>0</v>
      </c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512"/>
      <c r="R118" s="319"/>
      <c r="S118" s="319"/>
      <c r="T118" s="319"/>
      <c r="U118" s="319"/>
      <c r="V118" s="319"/>
      <c r="W118" s="319"/>
      <c r="X118" s="319"/>
      <c r="Y118" s="319"/>
      <c r="Z118" s="319"/>
      <c r="AA118" s="319"/>
      <c r="AB118" s="319"/>
      <c r="AC118" s="524" t="str">
        <f t="shared" si="20"/>
        <v/>
      </c>
      <c r="AD118" s="319"/>
      <c r="AE118" s="319"/>
      <c r="AF118" s="319"/>
      <c r="AG118" s="319"/>
      <c r="AH118" s="549" t="str">
        <f t="shared" si="21"/>
        <v/>
      </c>
      <c r="AI118" s="515" t="str">
        <f t="shared" si="19"/>
        <v/>
      </c>
    </row>
    <row r="119" spans="1:35">
      <c r="A119" s="499"/>
      <c r="B119" s="526"/>
      <c r="C119" s="529">
        <f>Data!S122</f>
        <v>0</v>
      </c>
      <c r="D119" s="319"/>
      <c r="E119" s="319"/>
      <c r="F119" s="319"/>
      <c r="G119" s="319"/>
      <c r="H119" s="319"/>
      <c r="I119" s="319"/>
      <c r="J119" s="319"/>
      <c r="K119" s="319"/>
      <c r="L119" s="319"/>
      <c r="M119" s="319"/>
      <c r="N119" s="319"/>
      <c r="O119" s="319"/>
      <c r="P119" s="319"/>
      <c r="Q119" s="512"/>
      <c r="R119" s="319"/>
      <c r="S119" s="319"/>
      <c r="T119" s="319"/>
      <c r="U119" s="319"/>
      <c r="V119" s="319"/>
      <c r="W119" s="319"/>
      <c r="X119" s="319"/>
      <c r="Y119" s="319"/>
      <c r="Z119" s="319"/>
      <c r="AA119" s="319"/>
      <c r="AB119" s="319"/>
      <c r="AC119" s="524" t="str">
        <f t="shared" si="20"/>
        <v/>
      </c>
      <c r="AD119" s="319"/>
      <c r="AE119" s="319"/>
      <c r="AF119" s="319"/>
      <c r="AG119" s="319"/>
      <c r="AH119" s="549" t="str">
        <f t="shared" si="21"/>
        <v/>
      </c>
      <c r="AI119" s="515" t="str">
        <f t="shared" si="19"/>
        <v/>
      </c>
    </row>
    <row r="120" spans="1:35">
      <c r="A120" s="499"/>
      <c r="B120" s="526"/>
      <c r="C120" s="529">
        <f>Data!S123</f>
        <v>0</v>
      </c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512"/>
      <c r="R120" s="319"/>
      <c r="S120" s="319"/>
      <c r="T120" s="319"/>
      <c r="U120" s="319"/>
      <c r="V120" s="319"/>
      <c r="W120" s="319"/>
      <c r="X120" s="319"/>
      <c r="Y120" s="319"/>
      <c r="Z120" s="319"/>
      <c r="AA120" s="319"/>
      <c r="AB120" s="319"/>
      <c r="AC120" s="524" t="str">
        <f t="shared" si="20"/>
        <v/>
      </c>
      <c r="AD120" s="319"/>
      <c r="AE120" s="319"/>
      <c r="AF120" s="319"/>
      <c r="AG120" s="319"/>
      <c r="AH120" s="549" t="str">
        <f t="shared" si="21"/>
        <v/>
      </c>
      <c r="AI120" s="515" t="str">
        <f t="shared" si="19"/>
        <v/>
      </c>
    </row>
    <row r="121" spans="1:35">
      <c r="A121" s="499"/>
      <c r="B121" s="526"/>
      <c r="C121" s="529">
        <f>Data!S124</f>
        <v>0</v>
      </c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512"/>
      <c r="R121" s="319"/>
      <c r="S121" s="319"/>
      <c r="T121" s="319"/>
      <c r="U121" s="319"/>
      <c r="V121" s="319"/>
      <c r="W121" s="319"/>
      <c r="X121" s="319"/>
      <c r="Y121" s="319"/>
      <c r="Z121" s="319"/>
      <c r="AA121" s="319"/>
      <c r="AB121" s="319"/>
      <c r="AC121" s="524" t="str">
        <f t="shared" si="20"/>
        <v/>
      </c>
      <c r="AD121" s="319"/>
      <c r="AE121" s="319"/>
      <c r="AF121" s="319"/>
      <c r="AG121" s="319"/>
      <c r="AH121" s="549" t="str">
        <f t="shared" si="21"/>
        <v/>
      </c>
      <c r="AI121" s="515" t="str">
        <f t="shared" si="19"/>
        <v/>
      </c>
    </row>
  </sheetData>
  <mergeCells count="6">
    <mergeCell ref="H1:H2"/>
    <mergeCell ref="AK1:AK2"/>
    <mergeCell ref="D1:G1"/>
    <mergeCell ref="I1:M1"/>
    <mergeCell ref="N1:X1"/>
    <mergeCell ref="Y1:AI1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1DDEC56F-DE94-493E-AC9C-61FBC5F30C76}">
            <xm:f>NOT(ISERROR(SEARCH("N",B3)))</xm:f>
            <xm:f>"N"</xm:f>
            <x14:dxf>
              <fill>
                <patternFill>
                  <bgColor rgb="FFFFC7CE"/>
                </patternFill>
              </fill>
            </x14:dxf>
          </x14:cfRule>
          <xm:sqref>B3:C121</xm:sqref>
        </x14:conditionalFormatting>
        <x14:conditionalFormatting xmlns:xm="http://schemas.microsoft.com/office/excel/2006/main">
          <x14:cfRule type="containsText" priority="1" operator="containsText" id="{4D82E861-B81D-4A5A-BE7D-C32C6A717630}">
            <xm:f>NOT(ISERROR(SEARCH("Y",B1)))</xm:f>
            <xm:f>"Y"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B1:C1048576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C5D8-197A-6F4B-92FE-6BC33159D7C6}">
  <dimension ref="A1:AB28"/>
  <sheetViews>
    <sheetView topLeftCell="D11" zoomScale="120" zoomScaleNormal="120" workbookViewId="0">
      <selection activeCell="D11" sqref="D11"/>
    </sheetView>
  </sheetViews>
  <sheetFormatPr defaultColWidth="11.42578125" defaultRowHeight="12.75"/>
  <cols>
    <col min="1" max="1" width="6.140625" style="102" bestFit="1" customWidth="1"/>
    <col min="2" max="2" width="10.85546875" style="68" customWidth="1"/>
    <col min="3" max="3" width="12.7109375" customWidth="1"/>
    <col min="4" max="4" width="15" bestFit="1" customWidth="1"/>
    <col min="5" max="5" width="11.85546875" bestFit="1" customWidth="1"/>
    <col min="6" max="6" width="9" style="68" bestFit="1" customWidth="1"/>
    <col min="7" max="7" width="11.28515625" style="360" bestFit="1" customWidth="1"/>
    <col min="8" max="8" width="12.28515625" style="364" bestFit="1" customWidth="1"/>
    <col min="9" max="9" width="9.85546875" style="157" bestFit="1" customWidth="1"/>
    <col min="10" max="10" width="12" style="200" customWidth="1"/>
    <col min="11" max="11" width="16.28515625" style="380" customWidth="1"/>
    <col min="12" max="12" width="6.42578125" bestFit="1" customWidth="1"/>
    <col min="13" max="13" width="15.7109375" style="394" bestFit="1" customWidth="1"/>
    <col min="14" max="14" width="13.28515625" style="394" bestFit="1" customWidth="1"/>
    <col min="15" max="16" width="6.28515625" style="356" bestFit="1" customWidth="1"/>
    <col min="17" max="17" width="7.85546875" style="200" bestFit="1" customWidth="1"/>
    <col min="18" max="19" width="7.85546875" style="200" customWidth="1"/>
    <col min="20" max="20" width="7.85546875" style="200" bestFit="1" customWidth="1"/>
    <col min="21" max="22" width="11.85546875" style="200" bestFit="1" customWidth="1"/>
    <col min="23" max="23" width="9.7109375" style="200" bestFit="1" customWidth="1"/>
    <col min="24" max="24" width="7.85546875" style="200" bestFit="1" customWidth="1"/>
    <col min="25" max="25" width="10.28515625" style="200" bestFit="1" customWidth="1"/>
    <col min="26" max="26" width="13.28515625" style="200" bestFit="1" customWidth="1"/>
    <col min="27" max="27" width="15.42578125" style="200" bestFit="1" customWidth="1"/>
    <col min="28" max="28" width="13.140625" style="200" bestFit="1" customWidth="1"/>
  </cols>
  <sheetData>
    <row r="1" spans="1:28" s="388" customFormat="1" ht="26.25" thickBot="1">
      <c r="A1" s="381" t="s">
        <v>216</v>
      </c>
      <c r="B1" s="382"/>
      <c r="C1" s="383" t="s">
        <v>293</v>
      </c>
      <c r="D1" s="383" t="s">
        <v>395</v>
      </c>
      <c r="E1" s="383" t="s">
        <v>396</v>
      </c>
      <c r="F1" s="382" t="s">
        <v>288</v>
      </c>
      <c r="G1" s="384" t="s">
        <v>397</v>
      </c>
      <c r="H1" s="385" t="s">
        <v>398</v>
      </c>
      <c r="I1" s="386" t="s">
        <v>399</v>
      </c>
      <c r="J1" s="387" t="s">
        <v>217</v>
      </c>
      <c r="K1" s="375" t="s">
        <v>400</v>
      </c>
      <c r="L1" s="383" t="s">
        <v>401</v>
      </c>
      <c r="M1" s="389" t="s">
        <v>402</v>
      </c>
      <c r="N1" s="389" t="s">
        <v>403</v>
      </c>
      <c r="O1" s="395" t="s">
        <v>404</v>
      </c>
      <c r="P1" s="395" t="s">
        <v>405</v>
      </c>
      <c r="Q1" s="387" t="s">
        <v>406</v>
      </c>
      <c r="R1" s="387" t="s">
        <v>407</v>
      </c>
      <c r="S1" s="387" t="s">
        <v>374</v>
      </c>
      <c r="T1" s="387" t="s">
        <v>408</v>
      </c>
      <c r="U1" s="387" t="s">
        <v>409</v>
      </c>
      <c r="V1" s="387" t="s">
        <v>410</v>
      </c>
      <c r="W1" s="387" t="s">
        <v>411</v>
      </c>
      <c r="X1" s="387" t="s">
        <v>412</v>
      </c>
      <c r="Y1" s="387" t="s">
        <v>413</v>
      </c>
      <c r="Z1" s="387" t="s">
        <v>414</v>
      </c>
      <c r="AA1" s="387" t="s">
        <v>415</v>
      </c>
      <c r="AB1" s="387" t="s">
        <v>416</v>
      </c>
    </row>
    <row r="2" spans="1:28">
      <c r="A2" s="347" t="s">
        <v>417</v>
      </c>
      <c r="B2" s="348">
        <v>1</v>
      </c>
      <c r="C2" s="349" t="s">
        <v>213</v>
      </c>
      <c r="D2" s="349">
        <v>0.93810000000000004</v>
      </c>
      <c r="E2" s="349"/>
      <c r="F2" s="348" t="s">
        <v>418</v>
      </c>
      <c r="G2" s="357">
        <v>9.0999999999999998E-2</v>
      </c>
      <c r="H2" s="361">
        <f>G2/1000</f>
        <v>9.1000000000000003E-5</v>
      </c>
      <c r="I2" s="365">
        <v>44.4</v>
      </c>
      <c r="J2" s="350">
        <f t="shared" ref="J2:J8" si="0">0.3/(I2/1000000)</f>
        <v>6756.7567567567567</v>
      </c>
      <c r="K2" s="376">
        <v>4047</v>
      </c>
      <c r="L2" s="349"/>
      <c r="M2" s="390">
        <f>J2^2</f>
        <v>45653761.869978085</v>
      </c>
      <c r="N2" s="390">
        <f>K2^2</f>
        <v>16378209</v>
      </c>
      <c r="O2" s="353">
        <v>0.505</v>
      </c>
      <c r="P2" s="353">
        <v>0.94</v>
      </c>
      <c r="Q2" s="350">
        <f>(O2/2)*25.4</f>
        <v>6.4135</v>
      </c>
      <c r="R2" s="350">
        <f>Q2*2</f>
        <v>12.827</v>
      </c>
      <c r="S2" s="350">
        <f>3.14159*Q2^2</f>
        <v>129.2229657067775</v>
      </c>
      <c r="T2" s="350">
        <f t="shared" ref="T2:T10" si="1">(P2/2)*25.4</f>
        <v>11.937999999999999</v>
      </c>
      <c r="U2" s="350">
        <f t="shared" ref="U2:U22" si="2">Q2^2</f>
        <v>41.132982249999998</v>
      </c>
      <c r="V2" s="350">
        <f>T2^2</f>
        <v>142.51584399999996</v>
      </c>
      <c r="W2" s="350"/>
      <c r="X2" s="350"/>
      <c r="Y2" s="350">
        <f>PI()*(Q2^2)*6.35</f>
        <v>820.56652534092984</v>
      </c>
      <c r="Z2" s="350">
        <f t="shared" ref="Z2:Z10" si="3">PI()*((T2^2)-(Q2^2))*6.35</f>
        <v>2022.4982008280551</v>
      </c>
      <c r="AA2" s="350">
        <f t="shared" ref="AA2:AA10" si="4">0.5*(H2)*M2</f>
        <v>2077.2461650840028</v>
      </c>
      <c r="AB2" s="350"/>
    </row>
    <row r="3" spans="1:28">
      <c r="A3" s="344">
        <v>51</v>
      </c>
      <c r="B3" s="345">
        <v>2</v>
      </c>
      <c r="C3" s="346" t="s">
        <v>213</v>
      </c>
      <c r="D3" s="346">
        <v>0.93810000000000004</v>
      </c>
      <c r="E3" s="346">
        <v>7.16</v>
      </c>
      <c r="F3" s="345" t="s">
        <v>418</v>
      </c>
      <c r="G3" s="358">
        <v>9.1999999999999998E-2</v>
      </c>
      <c r="H3" s="362">
        <f t="shared" ref="H3:H22" si="5">G3/1000</f>
        <v>9.2E-5</v>
      </c>
      <c r="I3" s="366">
        <v>47.3</v>
      </c>
      <c r="J3" s="351">
        <f t="shared" si="0"/>
        <v>6342.4947145877377</v>
      </c>
      <c r="K3" s="377">
        <v>3551.31</v>
      </c>
      <c r="L3" s="346">
        <v>37.5</v>
      </c>
      <c r="M3" s="391">
        <f t="shared" ref="M3:N21" si="6">J3^2</f>
        <v>40227239.204573385</v>
      </c>
      <c r="N3" s="391">
        <f>K3^2</f>
        <v>12611802.7161</v>
      </c>
      <c r="O3" s="354">
        <v>0.48</v>
      </c>
      <c r="P3" s="354">
        <v>0.9</v>
      </c>
      <c r="Q3" s="351">
        <f t="shared" ref="Q3:Q10" si="7">(O3/2)*25.4</f>
        <v>6.0959999999999992</v>
      </c>
      <c r="R3" s="350">
        <f t="shared" ref="R3:R22" si="8">Q3*2</f>
        <v>12.191999999999998</v>
      </c>
      <c r="S3" s="350">
        <f t="shared" ref="S3:S22" si="9">3.14159*Q3^2</f>
        <v>116.74530457343997</v>
      </c>
      <c r="T3" s="351">
        <f t="shared" si="1"/>
        <v>11.43</v>
      </c>
      <c r="U3" s="351">
        <f t="shared" si="2"/>
        <v>37.161215999999989</v>
      </c>
      <c r="V3" s="351">
        <f t="shared" ref="V3:V10" si="10">T3^2</f>
        <v>130.64490000000001</v>
      </c>
      <c r="W3" s="351">
        <v>1.99</v>
      </c>
      <c r="X3" s="351">
        <v>1.99</v>
      </c>
      <c r="Y3" s="351">
        <f t="shared" ref="Y3:Y10" si="11">PI()*(Q3^2)*6.35</f>
        <v>741.33331021880281</v>
      </c>
      <c r="Z3" s="351">
        <f t="shared" si="3"/>
        <v>1864.9166085191766</v>
      </c>
      <c r="AA3" s="351">
        <f t="shared" si="4"/>
        <v>1850.4530034103757</v>
      </c>
      <c r="AB3" s="351">
        <f t="shared" ref="AB3:AB10" si="12">SQRT(W3/(D3*(E3/10)*PI()))*10</f>
        <v>9.7111468776666658</v>
      </c>
    </row>
    <row r="4" spans="1:28">
      <c r="A4" s="344">
        <v>50</v>
      </c>
      <c r="B4" s="345">
        <v>3</v>
      </c>
      <c r="C4" s="346" t="s">
        <v>213</v>
      </c>
      <c r="D4" s="346">
        <v>0.93810000000000004</v>
      </c>
      <c r="E4" s="346">
        <v>6.82</v>
      </c>
      <c r="F4" s="345" t="s">
        <v>418</v>
      </c>
      <c r="G4" s="358">
        <v>9.1999999999999998E-2</v>
      </c>
      <c r="H4" s="362">
        <f t="shared" si="5"/>
        <v>9.2E-5</v>
      </c>
      <c r="I4" s="366">
        <v>51.2</v>
      </c>
      <c r="J4" s="351">
        <f t="shared" si="0"/>
        <v>5859.3749999999991</v>
      </c>
      <c r="K4" s="377">
        <v>3201.61</v>
      </c>
      <c r="L4" s="346">
        <v>64.5</v>
      </c>
      <c r="M4" s="391">
        <f t="shared" si="6"/>
        <v>34332275.390624993</v>
      </c>
      <c r="N4" s="391">
        <f t="shared" si="6"/>
        <v>10250306.5921</v>
      </c>
      <c r="O4" s="354">
        <v>0.45</v>
      </c>
      <c r="P4" s="354">
        <v>0.88500000000000001</v>
      </c>
      <c r="Q4" s="351">
        <f t="shared" si="7"/>
        <v>5.7149999999999999</v>
      </c>
      <c r="R4" s="350">
        <f t="shared" si="8"/>
        <v>11.43</v>
      </c>
      <c r="S4" s="350">
        <f t="shared" si="9"/>
        <v>102.60817784775</v>
      </c>
      <c r="T4" s="351">
        <f t="shared" si="1"/>
        <v>11.2395</v>
      </c>
      <c r="U4" s="351">
        <f t="shared" si="2"/>
        <v>32.661225000000002</v>
      </c>
      <c r="V4" s="351">
        <f t="shared" si="10"/>
        <v>126.32636024999999</v>
      </c>
      <c r="W4" s="351">
        <v>0.95</v>
      </c>
      <c r="X4" s="351">
        <v>0.95</v>
      </c>
      <c r="Y4" s="351">
        <f t="shared" si="11"/>
        <v>651.56247968449486</v>
      </c>
      <c r="Z4" s="351">
        <f t="shared" si="3"/>
        <v>1868.5364000729789</v>
      </c>
      <c r="AA4" s="351">
        <f t="shared" si="4"/>
        <v>1579.2846679687495</v>
      </c>
      <c r="AB4" s="351">
        <f t="shared" si="12"/>
        <v>6.8749589757419471</v>
      </c>
    </row>
    <row r="5" spans="1:28">
      <c r="A5" s="344">
        <v>49</v>
      </c>
      <c r="B5" s="345">
        <v>4</v>
      </c>
      <c r="C5" s="346" t="s">
        <v>213</v>
      </c>
      <c r="D5" s="346">
        <v>0.93810000000000004</v>
      </c>
      <c r="E5" s="346">
        <v>6.75</v>
      </c>
      <c r="F5" s="345" t="s">
        <v>418</v>
      </c>
      <c r="G5" s="358">
        <v>9.1999999999999998E-2</v>
      </c>
      <c r="H5" s="362">
        <f t="shared" si="5"/>
        <v>9.2E-5</v>
      </c>
      <c r="I5" s="366">
        <v>54.3</v>
      </c>
      <c r="J5" s="351">
        <f t="shared" si="0"/>
        <v>5524.861878453039</v>
      </c>
      <c r="K5" s="377">
        <v>3046.33</v>
      </c>
      <c r="L5" s="346">
        <v>38.4</v>
      </c>
      <c r="M5" s="391">
        <f t="shared" si="6"/>
        <v>30524098.775983643</v>
      </c>
      <c r="N5" s="391">
        <f t="shared" si="6"/>
        <v>9280126.4688999988</v>
      </c>
      <c r="O5" s="354">
        <v>0.44</v>
      </c>
      <c r="P5" s="354">
        <v>0.83499999999999996</v>
      </c>
      <c r="Q5" s="351">
        <f t="shared" si="7"/>
        <v>5.5880000000000001</v>
      </c>
      <c r="R5" s="350">
        <f t="shared" si="8"/>
        <v>11.176</v>
      </c>
      <c r="S5" s="350">
        <f t="shared" si="9"/>
        <v>98.098485092960004</v>
      </c>
      <c r="T5" s="351">
        <f t="shared" si="1"/>
        <v>10.6045</v>
      </c>
      <c r="U5" s="351">
        <f t="shared" si="2"/>
        <v>31.225744000000002</v>
      </c>
      <c r="V5" s="351">
        <f t="shared" si="10"/>
        <v>112.45542025</v>
      </c>
      <c r="W5" s="351">
        <v>0.8</v>
      </c>
      <c r="X5" s="351">
        <v>0.8</v>
      </c>
      <c r="Y5" s="351">
        <f t="shared" si="11"/>
        <v>622.92590650329976</v>
      </c>
      <c r="Z5" s="351">
        <f t="shared" si="3"/>
        <v>1620.4600189190307</v>
      </c>
      <c r="AA5" s="351">
        <f t="shared" si="4"/>
        <v>1404.1085436952476</v>
      </c>
      <c r="AB5" s="351">
        <f t="shared" si="12"/>
        <v>6.3415234500657522</v>
      </c>
    </row>
    <row r="6" spans="1:28">
      <c r="A6" s="344">
        <v>48</v>
      </c>
      <c r="B6" s="345">
        <v>5</v>
      </c>
      <c r="C6" s="346" t="s">
        <v>213</v>
      </c>
      <c r="D6" s="346">
        <v>0.93810000000000004</v>
      </c>
      <c r="E6" s="346">
        <v>6.85</v>
      </c>
      <c r="F6" s="345" t="s">
        <v>418</v>
      </c>
      <c r="G6" s="358">
        <v>9.1999999999999998E-2</v>
      </c>
      <c r="H6" s="362">
        <f t="shared" si="5"/>
        <v>9.2E-5</v>
      </c>
      <c r="I6" s="366">
        <v>57.9</v>
      </c>
      <c r="J6" s="351">
        <f t="shared" si="0"/>
        <v>5181.3471502590673</v>
      </c>
      <c r="K6" s="377">
        <v>2777.62</v>
      </c>
      <c r="L6" s="346">
        <v>53.4</v>
      </c>
      <c r="M6" s="391">
        <f t="shared" si="6"/>
        <v>26846358.29149776</v>
      </c>
      <c r="N6" s="391">
        <f t="shared" si="6"/>
        <v>7715172.8643999994</v>
      </c>
      <c r="O6" s="354">
        <v>0.40500000000000003</v>
      </c>
      <c r="P6" s="354">
        <v>0.82</v>
      </c>
      <c r="Q6" s="351">
        <f t="shared" si="7"/>
        <v>5.1435000000000004</v>
      </c>
      <c r="R6" s="350">
        <f t="shared" si="8"/>
        <v>10.287000000000001</v>
      </c>
      <c r="S6" s="350">
        <f t="shared" si="9"/>
        <v>83.112624056677518</v>
      </c>
      <c r="T6" s="351">
        <f t="shared" si="1"/>
        <v>10.413999999999998</v>
      </c>
      <c r="U6" s="351">
        <f t="shared" si="2"/>
        <v>26.455592250000006</v>
      </c>
      <c r="V6" s="351">
        <f t="shared" si="10"/>
        <v>108.45139599999996</v>
      </c>
      <c r="W6" s="351">
        <v>0.77</v>
      </c>
      <c r="X6" s="351">
        <v>0.77</v>
      </c>
      <c r="Y6" s="351">
        <f t="shared" si="11"/>
        <v>527.76560854444097</v>
      </c>
      <c r="Z6" s="351">
        <f t="shared" si="3"/>
        <v>1635.7435832573078</v>
      </c>
      <c r="AA6" s="351">
        <f t="shared" si="4"/>
        <v>1234.932481408897</v>
      </c>
      <c r="AB6" s="351">
        <f t="shared" si="12"/>
        <v>6.1759045109140267</v>
      </c>
    </row>
    <row r="7" spans="1:28">
      <c r="A7" s="344">
        <v>44</v>
      </c>
      <c r="B7" s="345">
        <v>6</v>
      </c>
      <c r="C7" s="346" t="s">
        <v>213</v>
      </c>
      <c r="D7" s="346">
        <v>0.93810000000000004</v>
      </c>
      <c r="E7" s="346">
        <v>6.91</v>
      </c>
      <c r="F7" s="345" t="s">
        <v>418</v>
      </c>
      <c r="G7" s="358">
        <v>9.1999999999999998E-2</v>
      </c>
      <c r="H7" s="362">
        <f t="shared" si="5"/>
        <v>9.2E-5</v>
      </c>
      <c r="I7" s="366">
        <v>68.7</v>
      </c>
      <c r="J7" s="351">
        <f t="shared" si="0"/>
        <v>4366.8122270742351</v>
      </c>
      <c r="K7" s="377">
        <v>2363.63</v>
      </c>
      <c r="L7" s="346">
        <v>22.22</v>
      </c>
      <c r="M7" s="391">
        <f t="shared" si="6"/>
        <v>19069049.026525043</v>
      </c>
      <c r="N7" s="391">
        <f t="shared" si="6"/>
        <v>5586746.7769000009</v>
      </c>
      <c r="O7" s="354">
        <v>0.34</v>
      </c>
      <c r="P7" s="354">
        <v>0.72</v>
      </c>
      <c r="Q7" s="351">
        <f t="shared" si="7"/>
        <v>4.3180000000000005</v>
      </c>
      <c r="R7" s="350">
        <f t="shared" si="8"/>
        <v>8.636000000000001</v>
      </c>
      <c r="S7" s="350">
        <f t="shared" si="9"/>
        <v>58.575335107160008</v>
      </c>
      <c r="T7" s="351">
        <f t="shared" si="1"/>
        <v>9.1439999999999984</v>
      </c>
      <c r="U7" s="351">
        <f t="shared" si="2"/>
        <v>18.645124000000003</v>
      </c>
      <c r="V7" s="351">
        <f t="shared" si="10"/>
        <v>83.61273599999997</v>
      </c>
      <c r="W7" s="351">
        <v>0.61</v>
      </c>
      <c r="X7" s="351">
        <v>0.61</v>
      </c>
      <c r="Y7" s="351">
        <f t="shared" si="11"/>
        <v>371.95369210630923</v>
      </c>
      <c r="Z7" s="351">
        <f t="shared" si="3"/>
        <v>1296.0462558859972</v>
      </c>
      <c r="AA7" s="351">
        <f t="shared" si="4"/>
        <v>877.17625522015203</v>
      </c>
      <c r="AB7" s="351">
        <f t="shared" si="12"/>
        <v>5.4730118629183604</v>
      </c>
    </row>
    <row r="8" spans="1:28">
      <c r="A8" s="344">
        <v>43</v>
      </c>
      <c r="B8" s="345">
        <v>7</v>
      </c>
      <c r="C8" s="346" t="s">
        <v>213</v>
      </c>
      <c r="D8" s="346">
        <v>0.93810000000000004</v>
      </c>
      <c r="E8" s="346">
        <v>6.86</v>
      </c>
      <c r="F8" s="345" t="s">
        <v>418</v>
      </c>
      <c r="G8" s="358">
        <v>0.09</v>
      </c>
      <c r="H8" s="362">
        <f t="shared" si="5"/>
        <v>8.9999999999999992E-5</v>
      </c>
      <c r="I8" s="366">
        <v>79.400000000000006</v>
      </c>
      <c r="J8" s="351">
        <f t="shared" si="0"/>
        <v>3778.3375314861455</v>
      </c>
      <c r="K8" s="377">
        <v>1971.55</v>
      </c>
      <c r="L8" s="346">
        <v>125.6</v>
      </c>
      <c r="M8" s="391">
        <f t="shared" si="6"/>
        <v>14275834.50183682</v>
      </c>
      <c r="N8" s="391">
        <f t="shared" si="6"/>
        <v>3887009.4024999999</v>
      </c>
      <c r="O8" s="354">
        <v>0.3</v>
      </c>
      <c r="P8" s="354">
        <v>0.63500000000000001</v>
      </c>
      <c r="Q8" s="351">
        <f t="shared" si="7"/>
        <v>3.8099999999999996</v>
      </c>
      <c r="R8" s="350">
        <f t="shared" si="8"/>
        <v>7.6199999999999992</v>
      </c>
      <c r="S8" s="350">
        <f t="shared" si="9"/>
        <v>45.603634598999989</v>
      </c>
      <c r="T8" s="351">
        <f t="shared" si="1"/>
        <v>8.0644999999999989</v>
      </c>
      <c r="U8" s="351">
        <f t="shared" si="2"/>
        <v>14.516099999999996</v>
      </c>
      <c r="V8" s="351">
        <f t="shared" si="10"/>
        <v>65.03616024999998</v>
      </c>
      <c r="W8" s="351">
        <v>0.3</v>
      </c>
      <c r="X8" s="351">
        <v>0.3</v>
      </c>
      <c r="Y8" s="351">
        <f t="shared" si="11"/>
        <v>289.5833243042199</v>
      </c>
      <c r="Z8" s="351">
        <f t="shared" si="3"/>
        <v>1007.8304083909918</v>
      </c>
      <c r="AA8" s="351">
        <f t="shared" si="4"/>
        <v>642.41255258265687</v>
      </c>
      <c r="AB8" s="351">
        <f t="shared" si="12"/>
        <v>3.8521134142710398</v>
      </c>
    </row>
    <row r="9" spans="1:28">
      <c r="A9" s="344">
        <v>55</v>
      </c>
      <c r="B9" s="345">
        <v>8</v>
      </c>
      <c r="C9" s="346" t="s">
        <v>213</v>
      </c>
      <c r="D9" s="346">
        <v>0.93810000000000004</v>
      </c>
      <c r="E9" s="346">
        <v>6.91</v>
      </c>
      <c r="F9" s="345" t="s">
        <v>418</v>
      </c>
      <c r="G9" s="358">
        <v>9.0999999999999998E-2</v>
      </c>
      <c r="H9" s="362">
        <f t="shared" si="5"/>
        <v>9.1000000000000003E-5</v>
      </c>
      <c r="I9" s="366">
        <v>102.1</v>
      </c>
      <c r="J9" s="351">
        <f>0.3/(I9/1000000)</f>
        <v>2938.2957884427033</v>
      </c>
      <c r="K9" s="377">
        <v>1586.82</v>
      </c>
      <c r="L9" s="346">
        <v>18.7</v>
      </c>
      <c r="M9" s="391">
        <f t="shared" si="6"/>
        <v>8633582.1403801274</v>
      </c>
      <c r="N9" s="391">
        <f t="shared" si="6"/>
        <v>2517997.7123999996</v>
      </c>
      <c r="O9" s="354">
        <v>0.24</v>
      </c>
      <c r="P9" s="354">
        <v>0.55000000000000004</v>
      </c>
      <c r="Q9" s="351">
        <f t="shared" si="7"/>
        <v>3.0479999999999996</v>
      </c>
      <c r="R9" s="350">
        <f t="shared" si="8"/>
        <v>6.0959999999999992</v>
      </c>
      <c r="S9" s="350">
        <f t="shared" si="9"/>
        <v>29.186326143359992</v>
      </c>
      <c r="T9" s="351">
        <f t="shared" si="1"/>
        <v>6.9850000000000003</v>
      </c>
      <c r="U9" s="351">
        <f t="shared" si="2"/>
        <v>9.2903039999999972</v>
      </c>
      <c r="V9" s="351">
        <f t="shared" si="10"/>
        <v>48.790225000000007</v>
      </c>
      <c r="W9" s="351">
        <v>0.15</v>
      </c>
      <c r="X9" s="351">
        <v>0.15</v>
      </c>
      <c r="Y9" s="351">
        <f t="shared" si="11"/>
        <v>185.3333275547007</v>
      </c>
      <c r="Z9" s="351">
        <f t="shared" si="3"/>
        <v>787.98840135670525</v>
      </c>
      <c r="AA9" s="351">
        <f t="shared" si="4"/>
        <v>392.82798738729582</v>
      </c>
      <c r="AB9" s="351">
        <f t="shared" si="12"/>
        <v>2.7139828658829392</v>
      </c>
    </row>
    <row r="10" spans="1:28">
      <c r="A10" s="344" t="s">
        <v>419</v>
      </c>
      <c r="B10" s="345">
        <v>9</v>
      </c>
      <c r="C10" s="346" t="s">
        <v>213</v>
      </c>
      <c r="D10" s="346">
        <v>0.93810000000000004</v>
      </c>
      <c r="E10" s="346">
        <v>6.71</v>
      </c>
      <c r="F10" s="345" t="s">
        <v>418</v>
      </c>
      <c r="G10" s="358">
        <v>0.09</v>
      </c>
      <c r="H10" s="362">
        <f t="shared" si="5"/>
        <v>8.9999999999999992E-5</v>
      </c>
      <c r="I10" s="366">
        <v>143.4</v>
      </c>
      <c r="J10" s="351">
        <f>0.3/(I10/1000000)</f>
        <v>2092.0502092050206</v>
      </c>
      <c r="K10" s="377">
        <v>1228</v>
      </c>
      <c r="L10" s="346"/>
      <c r="M10" s="391">
        <f t="shared" si="6"/>
        <v>4376674.0778347701</v>
      </c>
      <c r="N10" s="391">
        <f>K10^2</f>
        <v>1507984</v>
      </c>
      <c r="O10" s="354">
        <v>0.183</v>
      </c>
      <c r="P10" s="354">
        <v>0.51500000000000001</v>
      </c>
      <c r="Q10" s="351">
        <f t="shared" si="7"/>
        <v>2.3240999999999996</v>
      </c>
      <c r="R10" s="350">
        <f t="shared" si="8"/>
        <v>4.6481999999999992</v>
      </c>
      <c r="S10" s="350">
        <f t="shared" si="9"/>
        <v>16.969112434287894</v>
      </c>
      <c r="T10" s="351">
        <f t="shared" si="1"/>
        <v>6.5404999999999998</v>
      </c>
      <c r="U10" s="351">
        <f t="shared" si="2"/>
        <v>5.4014408099999978</v>
      </c>
      <c r="V10" s="351">
        <f t="shared" si="10"/>
        <v>42.77814025</v>
      </c>
      <c r="W10" s="351">
        <v>7.0000000000000007E-2</v>
      </c>
      <c r="X10" s="351">
        <v>7.0000000000000007E-2</v>
      </c>
      <c r="Y10" s="351">
        <f t="shared" si="11"/>
        <v>107.7539549736002</v>
      </c>
      <c r="Z10" s="351">
        <f t="shared" si="3"/>
        <v>745.63201378847464</v>
      </c>
      <c r="AA10" s="351">
        <f t="shared" si="4"/>
        <v>196.95033350256463</v>
      </c>
      <c r="AB10" s="351">
        <f t="shared" si="12"/>
        <v>1.8814308269493791</v>
      </c>
    </row>
    <row r="11" spans="1:28">
      <c r="A11" s="344" t="s">
        <v>420</v>
      </c>
      <c r="B11" s="345">
        <v>1</v>
      </c>
      <c r="C11" s="346" t="s">
        <v>213</v>
      </c>
      <c r="D11" s="346">
        <v>0.9912493</v>
      </c>
      <c r="E11" s="346">
        <v>2.7725</v>
      </c>
      <c r="F11" s="345" t="s">
        <v>418</v>
      </c>
      <c r="G11" s="358">
        <v>9.1999999999999998E-2</v>
      </c>
      <c r="H11" s="362">
        <f t="shared" si="5"/>
        <v>9.2E-5</v>
      </c>
      <c r="I11" s="366">
        <v>101.1</v>
      </c>
      <c r="J11" s="351">
        <f>0.3/(I11/1000000)</f>
        <v>2967.359050445104</v>
      </c>
      <c r="K11" s="377">
        <v>2478</v>
      </c>
      <c r="L11" s="346">
        <v>112.2</v>
      </c>
      <c r="M11" s="391">
        <f t="shared" si="6"/>
        <v>8805219.7342584692</v>
      </c>
      <c r="N11" s="391">
        <f>K11^2</f>
        <v>6140484</v>
      </c>
      <c r="O11" s="354"/>
      <c r="P11" s="354"/>
      <c r="Q11" s="351">
        <v>4.0549999999999997</v>
      </c>
      <c r="R11" s="350">
        <f t="shared" si="8"/>
        <v>8.11</v>
      </c>
      <c r="S11" s="350">
        <f t="shared" si="9"/>
        <v>51.657242909749996</v>
      </c>
      <c r="T11" s="351">
        <v>5.4249999999999998</v>
      </c>
      <c r="U11" s="351">
        <f t="shared" si="2"/>
        <v>16.443024999999999</v>
      </c>
      <c r="V11" s="351">
        <f>T11^2</f>
        <v>29.430624999999999</v>
      </c>
      <c r="W11" s="351">
        <v>0.41968495088226909</v>
      </c>
      <c r="X11" s="351">
        <v>0.41968495088226909</v>
      </c>
      <c r="Y11" s="351"/>
      <c r="Z11" s="351"/>
      <c r="AA11" s="351">
        <f>0.5*(H11)*M11</f>
        <v>405.04010777588957</v>
      </c>
      <c r="AB11" s="351">
        <f t="shared" ref="AB11:AB22" si="13">SQRT(W11/(D11*(E11/10)*PI()))*10</f>
        <v>6.9720346636745081</v>
      </c>
    </row>
    <row r="12" spans="1:28">
      <c r="A12" s="344" t="s">
        <v>421</v>
      </c>
      <c r="B12" s="345">
        <v>2</v>
      </c>
      <c r="C12" s="346" t="s">
        <v>213</v>
      </c>
      <c r="D12" s="346">
        <v>0.9912493</v>
      </c>
      <c r="E12" s="346">
        <v>2.8849999999999998</v>
      </c>
      <c r="F12" s="345" t="s">
        <v>418</v>
      </c>
      <c r="G12" s="358">
        <v>9.1999999999999998E-2</v>
      </c>
      <c r="H12" s="362">
        <f t="shared" si="5"/>
        <v>9.2E-5</v>
      </c>
      <c r="I12" s="366">
        <v>72.099999999999994</v>
      </c>
      <c r="J12" s="351">
        <f t="shared" ref="J12:J22" si="14">0.3/(I12/1000000)</f>
        <v>4160.8876560332874</v>
      </c>
      <c r="K12" s="377">
        <v>3360</v>
      </c>
      <c r="L12" s="346">
        <v>100.5</v>
      </c>
      <c r="M12" s="391">
        <f t="shared" si="6"/>
        <v>17312986.086130183</v>
      </c>
      <c r="N12" s="391">
        <f t="shared" si="6"/>
        <v>11289600</v>
      </c>
      <c r="O12" s="354"/>
      <c r="P12" s="354"/>
      <c r="Q12" s="351">
        <v>4.90625</v>
      </c>
      <c r="R12" s="350">
        <f t="shared" si="8"/>
        <v>9.8125</v>
      </c>
      <c r="S12" s="350">
        <f t="shared" si="9"/>
        <v>75.62212100585937</v>
      </c>
      <c r="T12" s="351">
        <v>7.07</v>
      </c>
      <c r="U12" s="351">
        <f t="shared" si="2"/>
        <v>24.0712890625</v>
      </c>
      <c r="V12" s="351">
        <f t="shared" ref="V12:V22" si="15">T12^2</f>
        <v>49.984900000000003</v>
      </c>
      <c r="W12" s="351">
        <v>0.17869512221161798</v>
      </c>
      <c r="X12" s="351">
        <v>0.17869512221161798</v>
      </c>
      <c r="Y12" s="351"/>
      <c r="Z12" s="351"/>
      <c r="AA12" s="351">
        <f t="shared" ref="AA12:AA22" si="16">0.5*(H12)*M12</f>
        <v>796.3973599619884</v>
      </c>
      <c r="AB12" s="351">
        <f t="shared" si="13"/>
        <v>4.4598171887257934</v>
      </c>
    </row>
    <row r="13" spans="1:28">
      <c r="A13" s="344" t="s">
        <v>422</v>
      </c>
      <c r="B13" s="345">
        <v>3</v>
      </c>
      <c r="C13" s="346" t="s">
        <v>213</v>
      </c>
      <c r="D13" s="346">
        <v>0.9912493</v>
      </c>
      <c r="E13" s="346">
        <v>2.8525</v>
      </c>
      <c r="F13" s="345" t="s">
        <v>418</v>
      </c>
      <c r="G13" s="358">
        <v>9.0999999999999998E-2</v>
      </c>
      <c r="H13" s="362">
        <f t="shared" si="5"/>
        <v>9.1000000000000003E-5</v>
      </c>
      <c r="I13" s="366">
        <v>47</v>
      </c>
      <c r="J13" s="351">
        <f t="shared" si="14"/>
        <v>6382.9787234042551</v>
      </c>
      <c r="K13" s="377">
        <v>5615</v>
      </c>
      <c r="L13" s="346">
        <v>25.49</v>
      </c>
      <c r="M13" s="391">
        <f t="shared" si="6"/>
        <v>40742417.383431412</v>
      </c>
      <c r="N13" s="391">
        <f t="shared" si="6"/>
        <v>31528225</v>
      </c>
      <c r="O13" s="354"/>
      <c r="P13" s="354"/>
      <c r="Q13" s="351">
        <v>5.6975000000000007</v>
      </c>
      <c r="R13" s="350">
        <f t="shared" si="8"/>
        <v>11.395000000000001</v>
      </c>
      <c r="S13" s="350">
        <f t="shared" si="9"/>
        <v>101.98074341993751</v>
      </c>
      <c r="T13" s="351">
        <v>8.6</v>
      </c>
      <c r="U13" s="351">
        <f t="shared" si="2"/>
        <v>32.461506250000006</v>
      </c>
      <c r="V13" s="351">
        <f t="shared" si="15"/>
        <v>73.959999999999994</v>
      </c>
      <c r="W13" s="351">
        <v>0.26362906883630366</v>
      </c>
      <c r="X13" s="351">
        <v>0.26362906883630366</v>
      </c>
      <c r="Y13" s="351"/>
      <c r="Z13" s="351"/>
      <c r="AA13" s="351">
        <f t="shared" si="16"/>
        <v>1853.7799909461294</v>
      </c>
      <c r="AB13" s="351">
        <f t="shared" si="13"/>
        <v>5.4477533712899966</v>
      </c>
    </row>
    <row r="14" spans="1:28">
      <c r="A14" s="344" t="s">
        <v>423</v>
      </c>
      <c r="B14" s="345">
        <v>1</v>
      </c>
      <c r="C14" s="346" t="s">
        <v>213</v>
      </c>
      <c r="D14" s="346">
        <v>0.99623150840497932</v>
      </c>
      <c r="E14" s="346">
        <v>2.0024999999999999</v>
      </c>
      <c r="F14" s="345" t="s">
        <v>418</v>
      </c>
      <c r="G14" s="358">
        <v>9.0999999999999998E-2</v>
      </c>
      <c r="H14" s="362">
        <f t="shared" si="5"/>
        <v>9.1000000000000003E-5</v>
      </c>
      <c r="I14" s="366">
        <v>83.1</v>
      </c>
      <c r="J14" s="351">
        <f t="shared" si="14"/>
        <v>3610.1083032490974</v>
      </c>
      <c r="K14" s="377">
        <v>2973</v>
      </c>
      <c r="L14" s="346">
        <v>59.81</v>
      </c>
      <c r="M14" s="391">
        <f t="shared" si="6"/>
        <v>13032881.961188076</v>
      </c>
      <c r="N14" s="391">
        <f t="shared" si="6"/>
        <v>8838729</v>
      </c>
      <c r="O14" s="354"/>
      <c r="P14" s="354"/>
      <c r="Q14" s="351">
        <v>3.9437500000000005</v>
      </c>
      <c r="R14" s="350">
        <f t="shared" si="8"/>
        <v>7.8875000000000011</v>
      </c>
      <c r="S14" s="350">
        <f t="shared" si="9"/>
        <v>48.861664687109389</v>
      </c>
      <c r="T14" s="351">
        <v>4.9800000000000004</v>
      </c>
      <c r="U14" s="351">
        <f t="shared" si="2"/>
        <v>15.553164062500004</v>
      </c>
      <c r="V14" s="351">
        <f t="shared" si="15"/>
        <v>24.800400000000003</v>
      </c>
      <c r="W14" s="351">
        <v>0.19621711602914971</v>
      </c>
      <c r="X14" s="351">
        <v>0.19621711602914971</v>
      </c>
      <c r="Y14" s="351"/>
      <c r="Z14" s="351"/>
      <c r="AA14" s="351">
        <f t="shared" si="16"/>
        <v>592.99612923405743</v>
      </c>
      <c r="AB14" s="351">
        <f t="shared" si="13"/>
        <v>5.5953480810910525</v>
      </c>
    </row>
    <row r="15" spans="1:28">
      <c r="A15" s="344" t="s">
        <v>424</v>
      </c>
      <c r="B15" s="345">
        <v>2</v>
      </c>
      <c r="C15" s="346" t="s">
        <v>213</v>
      </c>
      <c r="D15" s="346">
        <v>0.99623150840497932</v>
      </c>
      <c r="E15" s="346">
        <v>1.9075</v>
      </c>
      <c r="F15" s="345" t="s">
        <v>418</v>
      </c>
      <c r="G15" s="358">
        <v>9.0999999999999998E-2</v>
      </c>
      <c r="H15" s="362">
        <f t="shared" si="5"/>
        <v>9.1000000000000003E-5</v>
      </c>
      <c r="I15" s="366">
        <v>58.1</v>
      </c>
      <c r="J15" s="351">
        <f t="shared" si="14"/>
        <v>5163.5111876075725</v>
      </c>
      <c r="K15" s="377">
        <v>4724</v>
      </c>
      <c r="L15" s="346">
        <v>21.8</v>
      </c>
      <c r="M15" s="391">
        <f t="shared" si="6"/>
        <v>26661847.784548566</v>
      </c>
      <c r="N15" s="391">
        <f t="shared" si="6"/>
        <v>22316176</v>
      </c>
      <c r="O15" s="354"/>
      <c r="P15" s="354"/>
      <c r="Q15" s="351">
        <v>4.3900000000000006</v>
      </c>
      <c r="R15" s="350">
        <f t="shared" si="8"/>
        <v>8.7800000000000011</v>
      </c>
      <c r="S15" s="350">
        <f t="shared" si="9"/>
        <v>60.545036639000017</v>
      </c>
      <c r="T15" s="351">
        <v>5.48</v>
      </c>
      <c r="U15" s="351">
        <f t="shared" si="2"/>
        <v>19.272100000000005</v>
      </c>
      <c r="V15" s="351">
        <f t="shared" si="15"/>
        <v>30.030400000000004</v>
      </c>
      <c r="W15" s="351">
        <v>0.54978275491553941</v>
      </c>
      <c r="X15" s="351">
        <v>0.54978275491553941</v>
      </c>
      <c r="Y15" s="351"/>
      <c r="Z15" s="351"/>
      <c r="AA15" s="351">
        <f t="shared" si="16"/>
        <v>1213.1140741969598</v>
      </c>
      <c r="AB15" s="351">
        <f t="shared" si="13"/>
        <v>9.5963970878315337</v>
      </c>
    </row>
    <row r="16" spans="1:28" ht="13.5" thickBot="1">
      <c r="A16" s="368" t="s">
        <v>425</v>
      </c>
      <c r="B16" s="369">
        <v>3</v>
      </c>
      <c r="C16" s="370" t="s">
        <v>213</v>
      </c>
      <c r="D16" s="370">
        <v>0.99623150840497932</v>
      </c>
      <c r="E16" s="370">
        <v>1.9875</v>
      </c>
      <c r="F16" s="369" t="s">
        <v>418</v>
      </c>
      <c r="G16" s="371">
        <v>9.1999999999999998E-2</v>
      </c>
      <c r="H16" s="372">
        <f t="shared" si="5"/>
        <v>9.2E-5</v>
      </c>
      <c r="I16" s="373">
        <v>51.3</v>
      </c>
      <c r="J16" s="374">
        <f t="shared" si="14"/>
        <v>5847.9532163742688</v>
      </c>
      <c r="K16" s="378">
        <v>5440</v>
      </c>
      <c r="L16" s="370">
        <v>28.82</v>
      </c>
      <c r="M16" s="392">
        <f t="shared" si="6"/>
        <v>34198556.820902154</v>
      </c>
      <c r="N16" s="392">
        <f t="shared" si="6"/>
        <v>29593600</v>
      </c>
      <c r="O16" s="396"/>
      <c r="P16" s="396"/>
      <c r="Q16" s="374">
        <v>4.84375</v>
      </c>
      <c r="R16" s="350">
        <f t="shared" si="8"/>
        <v>9.6875</v>
      </c>
      <c r="S16" s="350">
        <f t="shared" si="9"/>
        <v>73.707714599609375</v>
      </c>
      <c r="T16" s="374">
        <v>6.1849999999999996</v>
      </c>
      <c r="U16" s="374">
        <f t="shared" si="2"/>
        <v>23.4619140625</v>
      </c>
      <c r="V16" s="374">
        <f t="shared" si="15"/>
        <v>38.254224999999998</v>
      </c>
      <c r="W16" s="374">
        <v>0.28969126733888295</v>
      </c>
      <c r="X16" s="374">
        <v>0.28969126733888295</v>
      </c>
      <c r="Y16" s="374"/>
      <c r="Z16" s="374"/>
      <c r="AA16" s="374">
        <f t="shared" si="16"/>
        <v>1573.1336137614992</v>
      </c>
      <c r="AB16" s="374">
        <f>SQRT(W16/(D16*(E16/10)*PI()))*10</f>
        <v>6.8243149245902153</v>
      </c>
    </row>
    <row r="17" spans="1:28" ht="13.5" thickTop="1">
      <c r="A17" s="347" t="s">
        <v>426</v>
      </c>
      <c r="B17" s="348">
        <v>1</v>
      </c>
      <c r="C17" s="349" t="s">
        <v>427</v>
      </c>
      <c r="D17" s="349">
        <v>0.99899957346285417</v>
      </c>
      <c r="E17" s="349">
        <v>3.0425</v>
      </c>
      <c r="F17" s="348" t="s">
        <v>418</v>
      </c>
      <c r="G17" s="357">
        <v>9.0999999999999998E-2</v>
      </c>
      <c r="H17" s="361">
        <f t="shared" si="5"/>
        <v>9.1000000000000003E-5</v>
      </c>
      <c r="I17" s="365">
        <v>88.5</v>
      </c>
      <c r="J17" s="350">
        <f t="shared" si="14"/>
        <v>3389.8305084745762</v>
      </c>
      <c r="K17" s="376">
        <v>2746</v>
      </c>
      <c r="L17" s="349">
        <v>43.44</v>
      </c>
      <c r="M17" s="390">
        <f t="shared" si="6"/>
        <v>11490950.876185004</v>
      </c>
      <c r="N17" s="390">
        <f t="shared" si="6"/>
        <v>7540516</v>
      </c>
      <c r="O17" s="353"/>
      <c r="P17" s="353"/>
      <c r="Q17" s="350">
        <v>5.1312499999999996</v>
      </c>
      <c r="R17" s="350">
        <f t="shared" si="8"/>
        <v>10.262499999999999</v>
      </c>
      <c r="S17" s="350">
        <f t="shared" si="9"/>
        <v>82.717205671484365</v>
      </c>
      <c r="T17" s="350">
        <v>6.92</v>
      </c>
      <c r="U17" s="350">
        <f t="shared" si="2"/>
        <v>26.329726562499996</v>
      </c>
      <c r="V17" s="350">
        <f t="shared" si="15"/>
        <v>47.886400000000002</v>
      </c>
      <c r="W17" s="350">
        <v>0.34986331525453274</v>
      </c>
      <c r="X17" s="350">
        <v>0.34986331525453274</v>
      </c>
      <c r="Y17" s="350"/>
      <c r="Z17" s="350"/>
      <c r="AA17" s="350">
        <f t="shared" si="16"/>
        <v>522.83826486641772</v>
      </c>
      <c r="AB17" s="350">
        <f t="shared" si="13"/>
        <v>6.0530787261724006</v>
      </c>
    </row>
    <row r="18" spans="1:28">
      <c r="A18" s="344" t="s">
        <v>428</v>
      </c>
      <c r="B18" s="345">
        <v>2</v>
      </c>
      <c r="C18" s="346" t="s">
        <v>427</v>
      </c>
      <c r="D18" s="346">
        <v>0.99899957346285417</v>
      </c>
      <c r="E18" s="346">
        <v>3.0350000000000001</v>
      </c>
      <c r="F18" s="345" t="s">
        <v>418</v>
      </c>
      <c r="G18" s="358">
        <v>9.1999999999999998E-2</v>
      </c>
      <c r="H18" s="362">
        <f t="shared" si="5"/>
        <v>9.2E-5</v>
      </c>
      <c r="I18" s="366">
        <v>65.7</v>
      </c>
      <c r="J18" s="351">
        <f t="shared" si="14"/>
        <v>4566.2100456621001</v>
      </c>
      <c r="K18" s="377">
        <v>3488</v>
      </c>
      <c r="L18" s="346">
        <v>73.05</v>
      </c>
      <c r="M18" s="391">
        <f t="shared" si="6"/>
        <v>20850274.18110548</v>
      </c>
      <c r="N18" s="391">
        <f t="shared" si="6"/>
        <v>12166144</v>
      </c>
      <c r="O18" s="354">
        <v>0.67</v>
      </c>
      <c r="P18" s="354"/>
      <c r="Q18" s="351">
        <v>6.0425000000000004</v>
      </c>
      <c r="R18" s="350">
        <f t="shared" si="8"/>
        <v>12.085000000000001</v>
      </c>
      <c r="S18" s="350">
        <f t="shared" si="9"/>
        <v>114.70512539693752</v>
      </c>
      <c r="T18" s="351">
        <f>(O18/2)*25.4</f>
        <v>8.5090000000000003</v>
      </c>
      <c r="U18" s="351">
        <f t="shared" si="2"/>
        <v>36.511806250000006</v>
      </c>
      <c r="V18" s="351">
        <f t="shared" si="15"/>
        <v>72.403081</v>
      </c>
      <c r="W18" s="351">
        <v>0.36506152880929577</v>
      </c>
      <c r="X18" s="351">
        <v>0.36506152880929577</v>
      </c>
      <c r="Y18" s="351"/>
      <c r="Z18" s="351"/>
      <c r="AA18" s="351">
        <f t="shared" si="16"/>
        <v>959.11261233085202</v>
      </c>
      <c r="AB18" s="351">
        <f t="shared" si="13"/>
        <v>6.1907903741803967</v>
      </c>
    </row>
    <row r="19" spans="1:28">
      <c r="A19" s="344" t="s">
        <v>429</v>
      </c>
      <c r="B19" s="345">
        <v>3</v>
      </c>
      <c r="C19" s="346" t="s">
        <v>427</v>
      </c>
      <c r="D19" s="346">
        <v>0.99899957346285417</v>
      </c>
      <c r="E19" s="346">
        <v>3.0349999999999997</v>
      </c>
      <c r="F19" s="345" t="s">
        <v>418</v>
      </c>
      <c r="G19" s="358">
        <v>9.0999999999999998E-2</v>
      </c>
      <c r="H19" s="362">
        <f t="shared" si="5"/>
        <v>9.1000000000000003E-5</v>
      </c>
      <c r="I19" s="366">
        <v>49.4</v>
      </c>
      <c r="J19" s="351">
        <f t="shared" si="14"/>
        <v>6072.8744939271255</v>
      </c>
      <c r="K19" s="377">
        <v>4514</v>
      </c>
      <c r="L19" s="346">
        <v>42.54</v>
      </c>
      <c r="M19" s="391">
        <f t="shared" si="6"/>
        <v>36879804.618990637</v>
      </c>
      <c r="N19" s="391">
        <f t="shared" si="6"/>
        <v>20376196</v>
      </c>
      <c r="O19" s="354"/>
      <c r="P19" s="354"/>
      <c r="Q19" s="351">
        <v>6.5362500000000008</v>
      </c>
      <c r="R19" s="350">
        <f t="shared" si="8"/>
        <v>13.072500000000002</v>
      </c>
      <c r="S19" s="350">
        <f t="shared" si="9"/>
        <v>134.21678003310942</v>
      </c>
      <c r="T19" s="351">
        <v>8.1349999999999998</v>
      </c>
      <c r="U19" s="351">
        <f t="shared" si="2"/>
        <v>42.722564062500012</v>
      </c>
      <c r="V19" s="351">
        <f t="shared" si="15"/>
        <v>66.178224999999998</v>
      </c>
      <c r="W19" s="351">
        <v>0.41504091892289807</v>
      </c>
      <c r="X19" s="351">
        <v>0.41504091892289807</v>
      </c>
      <c r="Y19" s="351"/>
      <c r="Z19" s="351"/>
      <c r="AA19" s="351">
        <f t="shared" si="16"/>
        <v>1678.0311101640741</v>
      </c>
      <c r="AB19" s="351">
        <f t="shared" si="13"/>
        <v>6.6009816053751313</v>
      </c>
    </row>
    <row r="20" spans="1:28">
      <c r="A20" s="344" t="s">
        <v>430</v>
      </c>
      <c r="B20" s="345">
        <v>1</v>
      </c>
      <c r="C20" s="346" t="s">
        <v>427</v>
      </c>
      <c r="D20" s="346">
        <v>0.98527932392416884</v>
      </c>
      <c r="E20" s="346">
        <v>1.65</v>
      </c>
      <c r="F20" s="345" t="s">
        <v>418</v>
      </c>
      <c r="G20" s="358">
        <v>9.2999999999999999E-2</v>
      </c>
      <c r="H20" s="362">
        <f t="shared" si="5"/>
        <v>9.2999999999999997E-5</v>
      </c>
      <c r="I20" s="366">
        <v>100.3</v>
      </c>
      <c r="J20" s="351">
        <f t="shared" si="14"/>
        <v>2991.0269192422729</v>
      </c>
      <c r="K20" s="377">
        <v>2673</v>
      </c>
      <c r="L20" s="346">
        <v>26.86</v>
      </c>
      <c r="M20" s="391">
        <f t="shared" si="6"/>
        <v>8946242.0316319223</v>
      </c>
      <c r="N20" s="391">
        <f t="shared" si="6"/>
        <v>7144929</v>
      </c>
      <c r="O20" s="354"/>
      <c r="P20" s="354"/>
      <c r="Q20" s="351">
        <v>3.98875</v>
      </c>
      <c r="R20" s="350">
        <f t="shared" si="8"/>
        <v>7.9775</v>
      </c>
      <c r="S20" s="350">
        <f t="shared" si="9"/>
        <v>49.983094507484374</v>
      </c>
      <c r="T20" s="351">
        <v>4.9400000000000004</v>
      </c>
      <c r="U20" s="351">
        <f t="shared" si="2"/>
        <v>15.9101265625</v>
      </c>
      <c r="V20" s="351">
        <f t="shared" si="15"/>
        <v>24.403600000000004</v>
      </c>
      <c r="W20" s="351">
        <v>0.14793629891862548</v>
      </c>
      <c r="X20" s="351">
        <v>0.14793629891862548</v>
      </c>
      <c r="Y20" s="351"/>
      <c r="Z20" s="351"/>
      <c r="AA20" s="351">
        <f t="shared" si="16"/>
        <v>416.00025447088439</v>
      </c>
      <c r="AB20" s="351">
        <f t="shared" si="13"/>
        <v>5.3819639150199103</v>
      </c>
    </row>
    <row r="21" spans="1:28">
      <c r="A21" s="344" t="s">
        <v>431</v>
      </c>
      <c r="B21" s="345">
        <v>2</v>
      </c>
      <c r="C21" s="346" t="s">
        <v>427</v>
      </c>
      <c r="D21" s="346">
        <v>0.98527932392416884</v>
      </c>
      <c r="E21" s="346">
        <v>1.66</v>
      </c>
      <c r="F21" s="345" t="s">
        <v>418</v>
      </c>
      <c r="G21" s="358">
        <v>0.09</v>
      </c>
      <c r="H21" s="362">
        <f t="shared" si="5"/>
        <v>8.9999999999999992E-5</v>
      </c>
      <c r="I21" s="366">
        <v>65</v>
      </c>
      <c r="J21" s="351">
        <f t="shared" si="14"/>
        <v>4615.3846153846152</v>
      </c>
      <c r="K21" s="377">
        <v>4401</v>
      </c>
      <c r="L21" s="346">
        <v>17.559999999999999</v>
      </c>
      <c r="M21" s="391">
        <f t="shared" si="6"/>
        <v>21301775.147928994</v>
      </c>
      <c r="N21" s="391">
        <f t="shared" si="6"/>
        <v>19368801</v>
      </c>
      <c r="O21" s="354"/>
      <c r="P21" s="354"/>
      <c r="Q21" s="351">
        <v>4.6512500000000001</v>
      </c>
      <c r="R21" s="350">
        <f t="shared" si="8"/>
        <v>9.3025000000000002</v>
      </c>
      <c r="S21" s="350">
        <f t="shared" si="9"/>
        <v>67.965555667484381</v>
      </c>
      <c r="T21" s="351">
        <v>6.07</v>
      </c>
      <c r="U21" s="351">
        <f t="shared" si="2"/>
        <v>21.634126562500001</v>
      </c>
      <c r="V21" s="351">
        <f t="shared" si="15"/>
        <v>36.844900000000003</v>
      </c>
      <c r="W21" s="351">
        <v>0.15949200762075577</v>
      </c>
      <c r="X21" s="351">
        <v>0.15949200762075577</v>
      </c>
      <c r="Y21" s="351"/>
      <c r="Z21" s="351"/>
      <c r="AA21" s="351">
        <f t="shared" si="16"/>
        <v>958.57988165680467</v>
      </c>
      <c r="AB21" s="351">
        <f t="shared" si="13"/>
        <v>5.5713545556718582</v>
      </c>
    </row>
    <row r="22" spans="1:28">
      <c r="A22" s="344" t="s">
        <v>432</v>
      </c>
      <c r="B22" s="345">
        <v>3</v>
      </c>
      <c r="C22" s="346" t="s">
        <v>427</v>
      </c>
      <c r="D22" s="346">
        <v>0.98527932392416884</v>
      </c>
      <c r="E22" s="346">
        <v>1.665</v>
      </c>
      <c r="F22" s="345" t="s">
        <v>418</v>
      </c>
      <c r="G22" s="358">
        <v>9.1999999999999998E-2</v>
      </c>
      <c r="H22" s="362">
        <f t="shared" si="5"/>
        <v>9.2E-5</v>
      </c>
      <c r="I22" s="366">
        <v>47.1</v>
      </c>
      <c r="J22" s="351">
        <f t="shared" si="14"/>
        <v>6369.4267515923566</v>
      </c>
      <c r="K22" s="377">
        <v>6276</v>
      </c>
      <c r="L22" s="346">
        <v>89.86</v>
      </c>
      <c r="M22" s="391">
        <f>J22^2</f>
        <v>40569597.143900357</v>
      </c>
      <c r="N22" s="391">
        <f>K22^2</f>
        <v>39388176</v>
      </c>
      <c r="O22" s="354"/>
      <c r="P22" s="354"/>
      <c r="Q22" s="351">
        <v>5.0862499999999997</v>
      </c>
      <c r="R22" s="350">
        <f t="shared" si="8"/>
        <v>10.172499999999999</v>
      </c>
      <c r="S22" s="350">
        <f t="shared" si="9"/>
        <v>81.272741859359371</v>
      </c>
      <c r="T22" s="351">
        <v>6.42</v>
      </c>
      <c r="U22" s="351">
        <f t="shared" si="2"/>
        <v>25.869939062499999</v>
      </c>
      <c r="V22" s="351">
        <f t="shared" si="15"/>
        <v>41.2164</v>
      </c>
      <c r="W22" s="351">
        <v>0.13880424348808962</v>
      </c>
      <c r="X22" s="351">
        <v>0.13880424348808962</v>
      </c>
      <c r="Y22" s="351"/>
      <c r="Z22" s="351"/>
      <c r="AA22" s="351">
        <f t="shared" si="16"/>
        <v>1866.2014686194163</v>
      </c>
      <c r="AB22" s="351">
        <f t="shared" si="13"/>
        <v>5.1896686733763566</v>
      </c>
    </row>
    <row r="23" spans="1:28">
      <c r="A23" s="342"/>
      <c r="B23" s="343"/>
      <c r="F23" s="343"/>
      <c r="G23" s="359"/>
      <c r="H23" s="363"/>
      <c r="I23" s="367"/>
      <c r="J23" s="352"/>
      <c r="K23" s="379"/>
      <c r="L23" s="341"/>
      <c r="M23" s="393"/>
      <c r="N23" s="393"/>
      <c r="O23" s="355"/>
      <c r="P23" s="355"/>
      <c r="Q23" s="352"/>
      <c r="R23" s="352"/>
      <c r="S23" s="352"/>
      <c r="T23" s="352"/>
      <c r="U23" s="352"/>
      <c r="V23" s="352"/>
      <c r="W23" s="352"/>
      <c r="X23" s="352"/>
      <c r="Y23" s="352"/>
      <c r="Z23" s="352"/>
      <c r="AA23" s="352"/>
      <c r="AB23" s="352"/>
    </row>
    <row r="24" spans="1:28">
      <c r="A24" s="342"/>
      <c r="B24" s="343"/>
      <c r="F24" s="343"/>
      <c r="G24" s="359"/>
      <c r="H24" s="363"/>
      <c r="I24" s="367"/>
      <c r="J24" s="352"/>
      <c r="K24" s="379"/>
      <c r="L24" s="341"/>
      <c r="M24" s="393"/>
      <c r="N24" s="393"/>
      <c r="O24" s="355"/>
      <c r="P24" s="355"/>
      <c r="Q24" s="352"/>
      <c r="R24" s="352"/>
      <c r="S24" s="352"/>
      <c r="T24" s="352"/>
      <c r="U24" s="352"/>
      <c r="V24" s="352"/>
      <c r="W24" s="352"/>
      <c r="X24" s="352"/>
      <c r="Y24" s="352"/>
      <c r="Z24" s="352"/>
      <c r="AA24" s="352"/>
      <c r="AB24" s="352"/>
    </row>
    <row r="25" spans="1:28">
      <c r="A25" s="346"/>
      <c r="B25" s="346"/>
      <c r="C25" s="346" t="s">
        <v>433</v>
      </c>
      <c r="F25" s="343"/>
      <c r="G25" s="359"/>
      <c r="H25" s="363"/>
      <c r="I25" s="367"/>
      <c r="J25" s="352"/>
      <c r="K25" s="379"/>
      <c r="L25" s="341"/>
      <c r="M25" s="393"/>
      <c r="N25" s="393"/>
      <c r="O25" s="355"/>
      <c r="P25" s="355"/>
      <c r="Q25" s="352"/>
      <c r="R25" s="352"/>
      <c r="S25" s="352"/>
      <c r="T25" s="352"/>
      <c r="U25" s="352"/>
      <c r="V25" s="352"/>
      <c r="W25" s="352"/>
      <c r="X25" s="352"/>
      <c r="Y25" s="352"/>
      <c r="Z25" s="352"/>
      <c r="AA25" s="352"/>
      <c r="AB25" s="352"/>
    </row>
    <row r="26" spans="1:28">
      <c r="A26" s="346"/>
      <c r="B26" s="346" t="s">
        <v>434</v>
      </c>
      <c r="C26" s="346" t="s">
        <v>435</v>
      </c>
      <c r="F26" s="343"/>
      <c r="G26" s="359"/>
      <c r="H26" s="363"/>
      <c r="I26" s="367"/>
      <c r="J26" s="352"/>
      <c r="K26" s="379"/>
      <c r="L26" s="341"/>
      <c r="M26" s="393"/>
      <c r="N26" s="393"/>
      <c r="O26" s="355"/>
      <c r="P26" s="355"/>
      <c r="Q26" s="352"/>
      <c r="R26" s="352"/>
      <c r="S26" s="352"/>
      <c r="T26" s="352"/>
      <c r="U26" s="352"/>
      <c r="V26" s="352"/>
      <c r="W26" s="352"/>
      <c r="X26" s="352"/>
      <c r="Y26" s="352"/>
      <c r="Z26" s="352"/>
      <c r="AA26" s="352"/>
      <c r="AB26" s="352"/>
    </row>
    <row r="27" spans="1:28">
      <c r="A27" s="346" t="s">
        <v>215</v>
      </c>
      <c r="B27" s="346">
        <f>AVERAGE(E17:E19)/4</f>
        <v>0.75937500000000002</v>
      </c>
      <c r="C27" s="346">
        <v>0.50629999999999997</v>
      </c>
      <c r="F27" s="343"/>
      <c r="G27" s="359"/>
      <c r="H27" s="363"/>
      <c r="I27" s="367"/>
      <c r="J27" s="352"/>
      <c r="K27" s="379"/>
      <c r="L27" s="341"/>
      <c r="M27" s="393"/>
      <c r="N27" s="393"/>
      <c r="O27" s="355"/>
      <c r="P27" s="355"/>
      <c r="Q27" s="352"/>
      <c r="R27" s="352"/>
      <c r="S27" s="352"/>
      <c r="T27" s="352"/>
      <c r="U27" s="352"/>
      <c r="V27" s="352"/>
      <c r="W27" s="352"/>
      <c r="X27" s="352"/>
      <c r="Y27" s="352"/>
      <c r="Z27" s="352"/>
      <c r="AA27" s="352"/>
      <c r="AB27" s="352"/>
    </row>
    <row r="28" spans="1:28">
      <c r="A28" s="346" t="s">
        <v>215</v>
      </c>
      <c r="B28" s="346">
        <f>AVERAGE(E20:E22)/4</f>
        <v>0.4145833333333333</v>
      </c>
      <c r="C28" s="346">
        <v>1.0213000000000001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586A-75F1-B649-94E5-6E9B3167A09D}">
  <sheetPr filterMode="1"/>
  <dimension ref="A1:L51"/>
  <sheetViews>
    <sheetView zoomScale="93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46" sqref="S46"/>
    </sheetView>
  </sheetViews>
  <sheetFormatPr defaultColWidth="11.42578125" defaultRowHeight="12.75"/>
  <cols>
    <col min="1" max="1" width="32.28515625" customWidth="1"/>
    <col min="2" max="2" width="17.140625" customWidth="1"/>
    <col min="3" max="3" width="21.42578125" customWidth="1"/>
    <col min="4" max="4" width="23.7109375" customWidth="1"/>
    <col min="5" max="5" width="13.42578125" customWidth="1"/>
    <col min="8" max="8" width="13.7109375" customWidth="1"/>
    <col min="9" max="9" width="10.85546875" style="68"/>
    <col min="10" max="10" width="13.85546875" style="68" customWidth="1"/>
    <col min="11" max="11" width="10.85546875" style="68"/>
  </cols>
  <sheetData>
    <row r="1" spans="1:11" ht="39.75">
      <c r="A1" s="402" t="s">
        <v>436</v>
      </c>
      <c r="B1" s="405" t="s">
        <v>202</v>
      </c>
      <c r="C1" s="402" t="s">
        <v>437</v>
      </c>
      <c r="D1" s="402" t="s">
        <v>438</v>
      </c>
      <c r="E1" s="406" t="s">
        <v>207</v>
      </c>
      <c r="F1" s="403" t="s">
        <v>439</v>
      </c>
      <c r="G1" s="406" t="s">
        <v>440</v>
      </c>
      <c r="H1" s="409" t="s">
        <v>441</v>
      </c>
      <c r="I1" s="406" t="s">
        <v>442</v>
      </c>
      <c r="J1" s="406" t="s">
        <v>443</v>
      </c>
      <c r="K1" s="406" t="s">
        <v>444</v>
      </c>
    </row>
    <row r="2" spans="1:11">
      <c r="A2" s="98" t="str">
        <f>'MSU Work'!A2</f>
        <v>A2</v>
      </c>
      <c r="B2" s="399">
        <f>'MSU Work'!J2</f>
        <v>6756.7567567567567</v>
      </c>
      <c r="C2" s="98" t="str">
        <f>'MSU Work'!C2</f>
        <v>UHMWPE</v>
      </c>
      <c r="D2" s="398"/>
      <c r="E2" s="400">
        <f>'MSU Work'!R2</f>
        <v>12.827</v>
      </c>
      <c r="F2" s="407" t="s">
        <v>73</v>
      </c>
      <c r="G2" s="400">
        <f>IF(F2="N",B2/1000,"")</f>
        <v>6.756756756756757</v>
      </c>
      <c r="H2" s="400">
        <f>IF(F2="N",E2/4,"")</f>
        <v>3.20675</v>
      </c>
      <c r="I2" s="401">
        <f>'MSU Work'!S2</f>
        <v>129.2229657067775</v>
      </c>
      <c r="J2" s="400">
        <f>(I2/4^2)</f>
        <v>8.0764353566735938</v>
      </c>
      <c r="K2" s="400">
        <f>IF(F2="N",3.14159*'MSU Work'!R2^2/4^2,"")</f>
        <v>32.305741426694375</v>
      </c>
    </row>
    <row r="3" spans="1:11">
      <c r="A3" s="98">
        <f>'MSU Work'!A3</f>
        <v>51</v>
      </c>
      <c r="B3" s="399">
        <f>'MSU Work'!J3</f>
        <v>6342.4947145877377</v>
      </c>
      <c r="C3" s="98" t="str">
        <f>'MSU Work'!C3</f>
        <v>UHMWPE</v>
      </c>
      <c r="D3" s="98"/>
      <c r="E3" s="400">
        <f>'MSU Work'!R3</f>
        <v>12.191999999999998</v>
      </c>
      <c r="F3" s="407" t="s">
        <v>73</v>
      </c>
      <c r="G3" s="400">
        <f t="shared" ref="G3:G34" si="0">IF(F3="N",B3/1000,"")</f>
        <v>6.3424947145877377</v>
      </c>
      <c r="H3" s="400">
        <f t="shared" ref="H3:H16" si="1">IF(F3="N",E3/4,"")</f>
        <v>3.0479999999999996</v>
      </c>
      <c r="I3" s="401">
        <f>'MSU Work'!S3</f>
        <v>116.74530457343997</v>
      </c>
      <c r="J3" s="400">
        <f t="shared" ref="J3:J20" si="2">(I3/4^2)</f>
        <v>7.2965815358399979</v>
      </c>
      <c r="K3" s="400">
        <f>IF(F3="N",3.14159*'MSU Work'!R3^2/4^2,"")</f>
        <v>29.186326143359992</v>
      </c>
    </row>
    <row r="4" spans="1:11">
      <c r="A4" s="98">
        <f>'MSU Work'!A4</f>
        <v>50</v>
      </c>
      <c r="B4" s="399">
        <f>'MSU Work'!J4</f>
        <v>5859.3749999999991</v>
      </c>
      <c r="C4" s="98" t="str">
        <f>'MSU Work'!C4</f>
        <v>UHMWPE</v>
      </c>
      <c r="D4" s="98"/>
      <c r="E4" s="400">
        <f>'MSU Work'!R4</f>
        <v>11.43</v>
      </c>
      <c r="F4" s="407" t="s">
        <v>73</v>
      </c>
      <c r="G4" s="400">
        <f t="shared" si="0"/>
        <v>5.8593749999999991</v>
      </c>
      <c r="H4" s="400">
        <f t="shared" si="1"/>
        <v>2.8574999999999999</v>
      </c>
      <c r="I4" s="401">
        <f>'MSU Work'!S4</f>
        <v>102.60817784775</v>
      </c>
      <c r="J4" s="400">
        <f t="shared" si="2"/>
        <v>6.413011115484375</v>
      </c>
      <c r="K4" s="400">
        <f>IF(F4="N",3.14159*'MSU Work'!R4^2/4^2,"")</f>
        <v>25.6520444619375</v>
      </c>
    </row>
    <row r="5" spans="1:11">
      <c r="A5" s="98">
        <f>'MSU Work'!A5</f>
        <v>49</v>
      </c>
      <c r="B5" s="399">
        <f>'MSU Work'!J5</f>
        <v>5524.861878453039</v>
      </c>
      <c r="C5" s="98" t="str">
        <f>'MSU Work'!C5</f>
        <v>UHMWPE</v>
      </c>
      <c r="D5" s="98"/>
      <c r="E5" s="400">
        <f>'MSU Work'!R5</f>
        <v>11.176</v>
      </c>
      <c r="F5" s="407" t="s">
        <v>73</v>
      </c>
      <c r="G5" s="400">
        <f t="shared" si="0"/>
        <v>5.5248618784530388</v>
      </c>
      <c r="H5" s="400">
        <f t="shared" si="1"/>
        <v>2.794</v>
      </c>
      <c r="I5" s="401">
        <f>'MSU Work'!S5</f>
        <v>98.098485092960004</v>
      </c>
      <c r="J5" s="400">
        <f t="shared" si="2"/>
        <v>6.1311553183100003</v>
      </c>
      <c r="K5" s="400">
        <f>IF(F5="N",3.14159*'MSU Work'!R5^2/4^2,"")</f>
        <v>24.524621273240001</v>
      </c>
    </row>
    <row r="6" spans="1:11">
      <c r="A6" s="98">
        <f>'MSU Work'!A6</f>
        <v>48</v>
      </c>
      <c r="B6" s="399">
        <f>'MSU Work'!J6</f>
        <v>5181.3471502590673</v>
      </c>
      <c r="C6" s="98" t="str">
        <f>'MSU Work'!C6</f>
        <v>UHMWPE</v>
      </c>
      <c r="D6" s="98"/>
      <c r="E6" s="400">
        <f>'MSU Work'!R6</f>
        <v>10.287000000000001</v>
      </c>
      <c r="F6" s="407" t="s">
        <v>73</v>
      </c>
      <c r="G6" s="400">
        <f t="shared" si="0"/>
        <v>5.1813471502590671</v>
      </c>
      <c r="H6" s="400">
        <f t="shared" si="1"/>
        <v>2.5717500000000002</v>
      </c>
      <c r="I6" s="401">
        <f>'MSU Work'!S6</f>
        <v>83.112624056677518</v>
      </c>
      <c r="J6" s="400">
        <f t="shared" si="2"/>
        <v>5.1945390035423449</v>
      </c>
      <c r="K6" s="400">
        <f>IF(F6="N",3.14159*'MSU Work'!R6^2/4^2,"")</f>
        <v>20.77815601416938</v>
      </c>
    </row>
    <row r="7" spans="1:11">
      <c r="A7" s="98">
        <f>'MSU Work'!A7</f>
        <v>44</v>
      </c>
      <c r="B7" s="399">
        <f>'MSU Work'!J7</f>
        <v>4366.8122270742351</v>
      </c>
      <c r="C7" s="98" t="str">
        <f>'MSU Work'!C7</f>
        <v>UHMWPE</v>
      </c>
      <c r="D7" s="98"/>
      <c r="E7" s="400">
        <f>'MSU Work'!R7</f>
        <v>8.636000000000001</v>
      </c>
      <c r="F7" s="407" t="s">
        <v>73</v>
      </c>
      <c r="G7" s="400">
        <f t="shared" si="0"/>
        <v>4.3668122270742353</v>
      </c>
      <c r="H7" s="400">
        <f t="shared" si="1"/>
        <v>2.1590000000000003</v>
      </c>
      <c r="I7" s="401">
        <f>'MSU Work'!S7</f>
        <v>58.575335107160008</v>
      </c>
      <c r="J7" s="400">
        <f t="shared" si="2"/>
        <v>3.6609584441975005</v>
      </c>
      <c r="K7" s="400">
        <f>IF(F7="N",3.14159*'MSU Work'!R7^2/4^2,"")</f>
        <v>14.643833776790002</v>
      </c>
    </row>
    <row r="8" spans="1:11">
      <c r="A8" s="98">
        <f>'MSU Work'!A8</f>
        <v>43</v>
      </c>
      <c r="B8" s="399">
        <f>'MSU Work'!J8</f>
        <v>3778.3375314861455</v>
      </c>
      <c r="C8" s="98" t="str">
        <f>'MSU Work'!C8</f>
        <v>UHMWPE</v>
      </c>
      <c r="D8" s="98"/>
      <c r="E8" s="400">
        <f>'MSU Work'!R8</f>
        <v>7.6199999999999992</v>
      </c>
      <c r="F8" s="407" t="s">
        <v>73</v>
      </c>
      <c r="G8" s="400">
        <f t="shared" si="0"/>
        <v>3.7783375314861454</v>
      </c>
      <c r="H8" s="400">
        <f t="shared" si="1"/>
        <v>1.9049999999999998</v>
      </c>
      <c r="I8" s="401">
        <f>'MSU Work'!S8</f>
        <v>45.603634598999989</v>
      </c>
      <c r="J8" s="400">
        <f t="shared" si="2"/>
        <v>2.8502271624374993</v>
      </c>
      <c r="K8" s="400">
        <f>IF(F8="N",3.14159*'MSU Work'!R8^2/4^2,"")</f>
        <v>11.400908649749997</v>
      </c>
    </row>
    <row r="9" spans="1:11">
      <c r="A9" s="98">
        <f>'MSU Work'!A9</f>
        <v>55</v>
      </c>
      <c r="B9" s="399">
        <f>'MSU Work'!J9</f>
        <v>2938.2957884427033</v>
      </c>
      <c r="C9" s="98" t="str">
        <f>'MSU Work'!C9</f>
        <v>UHMWPE</v>
      </c>
      <c r="D9" s="98"/>
      <c r="E9" s="400">
        <f>'MSU Work'!R9</f>
        <v>6.0959999999999992</v>
      </c>
      <c r="F9" s="407" t="s">
        <v>73</v>
      </c>
      <c r="G9" s="400">
        <f t="shared" si="0"/>
        <v>2.9382957884427032</v>
      </c>
      <c r="H9" s="400">
        <f t="shared" si="1"/>
        <v>1.5239999999999998</v>
      </c>
      <c r="I9" s="401">
        <f>'MSU Work'!S9</f>
        <v>29.186326143359992</v>
      </c>
      <c r="J9" s="400">
        <f t="shared" si="2"/>
        <v>1.8241453839599995</v>
      </c>
      <c r="K9" s="400">
        <f>IF(F9="N",3.14159*'MSU Work'!R9^2/4^2,"")</f>
        <v>7.2965815358399979</v>
      </c>
    </row>
    <row r="10" spans="1:11">
      <c r="A10" s="98" t="str">
        <f>'MSU Work'!A10</f>
        <v>A3</v>
      </c>
      <c r="B10" s="399">
        <f>'MSU Work'!J10</f>
        <v>2092.0502092050206</v>
      </c>
      <c r="C10" s="98" t="str">
        <f>'MSU Work'!C10</f>
        <v>UHMWPE</v>
      </c>
      <c r="D10" s="98"/>
      <c r="E10" s="400">
        <f>'MSU Work'!R10</f>
        <v>4.6481999999999992</v>
      </c>
      <c r="F10" s="407" t="s">
        <v>73</v>
      </c>
      <c r="G10" s="400">
        <f t="shared" si="0"/>
        <v>2.0920502092050204</v>
      </c>
      <c r="H10" s="400">
        <f t="shared" si="1"/>
        <v>1.1620499999999998</v>
      </c>
      <c r="I10" s="401">
        <f>'MSU Work'!S10</f>
        <v>16.969112434287894</v>
      </c>
      <c r="J10" s="400">
        <f t="shared" si="2"/>
        <v>1.0605695271429934</v>
      </c>
      <c r="K10" s="400">
        <f>IF(F10="N",3.14159*'MSU Work'!R10^2/4^2,"")</f>
        <v>4.2422781085719734</v>
      </c>
    </row>
    <row r="11" spans="1:11">
      <c r="A11" s="98" t="str">
        <f>'MSU Work'!A11</f>
        <v>B15</v>
      </c>
      <c r="B11" s="399">
        <f>'MSU Work'!J11</f>
        <v>2967.359050445104</v>
      </c>
      <c r="C11" s="98" t="str">
        <f>'MSU Work'!C11</f>
        <v>UHMWPE</v>
      </c>
      <c r="D11" s="98"/>
      <c r="E11" s="400">
        <f>'MSU Work'!R11</f>
        <v>8.11</v>
      </c>
      <c r="F11" s="407" t="s">
        <v>73</v>
      </c>
      <c r="G11" s="400">
        <f t="shared" si="0"/>
        <v>2.9673590504451042</v>
      </c>
      <c r="H11" s="400">
        <f t="shared" si="1"/>
        <v>2.0274999999999999</v>
      </c>
      <c r="I11" s="401">
        <f>'MSU Work'!S11</f>
        <v>51.657242909749996</v>
      </c>
      <c r="J11" s="400">
        <f t="shared" si="2"/>
        <v>3.2285776818593748</v>
      </c>
      <c r="K11" s="400">
        <f>IF(F11="N",3.14159*'MSU Work'!R11^2/4^2,"")</f>
        <v>12.914310727437499</v>
      </c>
    </row>
    <row r="12" spans="1:11">
      <c r="A12" s="98" t="str">
        <f>'MSU Work'!A12</f>
        <v>B16</v>
      </c>
      <c r="B12" s="399">
        <f>'MSU Work'!J12</f>
        <v>4160.8876560332874</v>
      </c>
      <c r="C12" s="98" t="str">
        <f>'MSU Work'!C12</f>
        <v>UHMWPE</v>
      </c>
      <c r="D12" s="98"/>
      <c r="E12" s="400">
        <f>'MSU Work'!R12</f>
        <v>9.8125</v>
      </c>
      <c r="F12" s="407" t="s">
        <v>73</v>
      </c>
      <c r="G12" s="400">
        <f t="shared" si="0"/>
        <v>4.160887656033287</v>
      </c>
      <c r="H12" s="400">
        <f t="shared" si="1"/>
        <v>2.453125</v>
      </c>
      <c r="I12" s="401">
        <f>'MSU Work'!S12</f>
        <v>75.62212100585937</v>
      </c>
      <c r="J12" s="400">
        <f t="shared" si="2"/>
        <v>4.7263825628662106</v>
      </c>
      <c r="K12" s="400">
        <f>IF(F12="N",3.14159*'MSU Work'!R12^2/4^2,"")</f>
        <v>18.905530251464842</v>
      </c>
    </row>
    <row r="13" spans="1:11">
      <c r="A13" s="98" t="str">
        <f>'MSU Work'!A13</f>
        <v>B18</v>
      </c>
      <c r="B13" s="399">
        <f>'MSU Work'!J13</f>
        <v>6382.9787234042551</v>
      </c>
      <c r="C13" s="98" t="str">
        <f>'MSU Work'!C13</f>
        <v>UHMWPE</v>
      </c>
      <c r="D13" s="98"/>
      <c r="E13" s="400">
        <f>'MSU Work'!R13</f>
        <v>11.395000000000001</v>
      </c>
      <c r="F13" s="407" t="s">
        <v>73</v>
      </c>
      <c r="G13" s="400">
        <f t="shared" si="0"/>
        <v>6.3829787234042552</v>
      </c>
      <c r="H13" s="400">
        <f t="shared" si="1"/>
        <v>2.8487500000000003</v>
      </c>
      <c r="I13" s="401">
        <f>'MSU Work'!S13</f>
        <v>101.98074341993751</v>
      </c>
      <c r="J13" s="400">
        <f t="shared" si="2"/>
        <v>6.3737964637460944</v>
      </c>
      <c r="K13" s="400">
        <f>IF(F13="N",3.14159*'MSU Work'!R13^2/4^2,"")</f>
        <v>25.495185854984378</v>
      </c>
    </row>
    <row r="14" spans="1:11">
      <c r="A14" s="98" t="str">
        <f>'MSU Work'!A14</f>
        <v>B27</v>
      </c>
      <c r="B14" s="399">
        <f>'MSU Work'!J14</f>
        <v>3610.1083032490974</v>
      </c>
      <c r="C14" s="98" t="str">
        <f>'MSU Work'!C14</f>
        <v>UHMWPE</v>
      </c>
      <c r="D14" s="98"/>
      <c r="E14" s="400">
        <f>'MSU Work'!R14</f>
        <v>7.8875000000000011</v>
      </c>
      <c r="F14" s="407" t="s">
        <v>73</v>
      </c>
      <c r="G14" s="400">
        <f t="shared" si="0"/>
        <v>3.6101083032490973</v>
      </c>
      <c r="H14" s="400">
        <f t="shared" si="1"/>
        <v>1.9718750000000003</v>
      </c>
      <c r="I14" s="401">
        <f>'MSU Work'!S14</f>
        <v>48.861664687109389</v>
      </c>
      <c r="J14" s="400">
        <f t="shared" si="2"/>
        <v>3.0538540429443368</v>
      </c>
      <c r="K14" s="400">
        <f>IF(F14="N",3.14159*'MSU Work'!R14^2/4^2,"")</f>
        <v>12.215416171777347</v>
      </c>
    </row>
    <row r="15" spans="1:11">
      <c r="A15" s="98" t="str">
        <f>'MSU Work'!A15</f>
        <v>B29</v>
      </c>
      <c r="B15" s="399">
        <f>'MSU Work'!J15</f>
        <v>5163.5111876075725</v>
      </c>
      <c r="C15" s="98" t="str">
        <f>'MSU Work'!C15</f>
        <v>UHMWPE</v>
      </c>
      <c r="D15" s="98"/>
      <c r="E15" s="400">
        <f>'MSU Work'!R15</f>
        <v>8.7800000000000011</v>
      </c>
      <c r="F15" s="407" t="s">
        <v>73</v>
      </c>
      <c r="G15" s="400">
        <f t="shared" si="0"/>
        <v>5.1635111876075728</v>
      </c>
      <c r="H15" s="400">
        <f t="shared" si="1"/>
        <v>2.1950000000000003</v>
      </c>
      <c r="I15" s="401">
        <f>'MSU Work'!S15</f>
        <v>60.545036639000017</v>
      </c>
      <c r="J15" s="400">
        <f t="shared" si="2"/>
        <v>3.7840647899375011</v>
      </c>
      <c r="K15" s="400">
        <f>IF(F15="N",3.14159*'MSU Work'!R15^2/4^2,"")</f>
        <v>15.136259159750004</v>
      </c>
    </row>
    <row r="16" spans="1:11">
      <c r="A16" s="98" t="str">
        <f>'MSU Work'!A16</f>
        <v>B33</v>
      </c>
      <c r="B16" s="399">
        <f>'MSU Work'!J16</f>
        <v>5847.9532163742688</v>
      </c>
      <c r="C16" s="98" t="str">
        <f>'MSU Work'!C16</f>
        <v>UHMWPE</v>
      </c>
      <c r="D16" s="97"/>
      <c r="E16" s="400">
        <f>'MSU Work'!R16</f>
        <v>9.6875</v>
      </c>
      <c r="F16" s="407" t="s">
        <v>73</v>
      </c>
      <c r="G16" s="400">
        <f t="shared" si="0"/>
        <v>5.8479532163742691</v>
      </c>
      <c r="H16" s="400">
        <f t="shared" si="1"/>
        <v>2.421875</v>
      </c>
      <c r="I16" s="401">
        <f>'MSU Work'!S16</f>
        <v>73.707714599609375</v>
      </c>
      <c r="J16" s="400">
        <f t="shared" si="2"/>
        <v>4.6067321624755859</v>
      </c>
      <c r="K16" s="400">
        <f>IF(F16="N",3.14159*'MSU Work'!R16^2/4^2,"")</f>
        <v>18.426928649902344</v>
      </c>
    </row>
    <row r="17" spans="1:12">
      <c r="A17" s="98" t="str">
        <f>'MSU Work'!A17</f>
        <v>B19</v>
      </c>
      <c r="B17" s="399">
        <f>'MSU Work'!J17</f>
        <v>3389.8305084745762</v>
      </c>
      <c r="C17" s="98" t="str">
        <f>'MSU Work'!C17</f>
        <v>HPDE</v>
      </c>
      <c r="D17" s="98"/>
      <c r="E17" s="400">
        <f>'MSU Work'!R17</f>
        <v>10.262499999999999</v>
      </c>
      <c r="F17" s="407" t="s">
        <v>73</v>
      </c>
      <c r="G17" s="400">
        <f t="shared" si="0"/>
        <v>3.3898305084745761</v>
      </c>
      <c r="H17" s="400">
        <f>IF(F17="N",E17/4,"")</f>
        <v>2.5656249999999998</v>
      </c>
      <c r="I17" s="401">
        <f>'MSU Work'!S17</f>
        <v>82.717205671484365</v>
      </c>
      <c r="J17" s="400">
        <f t="shared" si="2"/>
        <v>5.1698253544677728</v>
      </c>
      <c r="K17" s="400">
        <f>IF(F17="N",3.14159*'MSU Work'!R17^2/4^2,"")</f>
        <v>20.679301417871091</v>
      </c>
    </row>
    <row r="18" spans="1:12">
      <c r="A18" s="98" t="str">
        <f>'MSU Work'!A18</f>
        <v>B20</v>
      </c>
      <c r="B18" s="399">
        <f>'MSU Work'!J18</f>
        <v>4566.2100456621001</v>
      </c>
      <c r="C18" s="98" t="str">
        <f>'MSU Work'!C18</f>
        <v>HPDE</v>
      </c>
      <c r="D18" s="98"/>
      <c r="E18" s="400">
        <f>'MSU Work'!R18</f>
        <v>12.085000000000001</v>
      </c>
      <c r="F18" s="407" t="s">
        <v>73</v>
      </c>
      <c r="G18" s="400">
        <f t="shared" si="0"/>
        <v>4.5662100456620998</v>
      </c>
      <c r="H18" s="400">
        <f t="shared" ref="H18:H20" si="3">IF(F18="N",E18/4,"")</f>
        <v>3.0212500000000002</v>
      </c>
      <c r="I18" s="401">
        <f>'MSU Work'!S18</f>
        <v>114.70512539693752</v>
      </c>
      <c r="J18" s="400">
        <f t="shared" si="2"/>
        <v>7.1690703373085949</v>
      </c>
      <c r="K18" s="400">
        <f>IF(F18="N",3.14159*'MSU Work'!R18^2/4^2,"")</f>
        <v>28.67628134923438</v>
      </c>
    </row>
    <row r="19" spans="1:12">
      <c r="A19" s="98" t="str">
        <f>'MSU Work'!A19</f>
        <v>B21</v>
      </c>
      <c r="B19" s="399">
        <f>'MSU Work'!J19</f>
        <v>6072.8744939271255</v>
      </c>
      <c r="C19" s="98" t="str">
        <f>'MSU Work'!C19</f>
        <v>HPDE</v>
      </c>
      <c r="D19" s="98"/>
      <c r="E19" s="400">
        <f>'MSU Work'!R19</f>
        <v>13.072500000000002</v>
      </c>
      <c r="F19" s="407" t="s">
        <v>73</v>
      </c>
      <c r="G19" s="400">
        <f t="shared" si="0"/>
        <v>6.0728744939271255</v>
      </c>
      <c r="H19" s="400">
        <f t="shared" si="3"/>
        <v>3.2681250000000004</v>
      </c>
      <c r="I19" s="401">
        <f>'MSU Work'!S19</f>
        <v>134.21678003310942</v>
      </c>
      <c r="J19" s="400">
        <f t="shared" si="2"/>
        <v>8.3885487520693385</v>
      </c>
      <c r="K19" s="400">
        <f>IF(F19="N",3.14159*'MSU Work'!R19^2/4^2,"")</f>
        <v>33.554195008277354</v>
      </c>
    </row>
    <row r="20" spans="1:12" ht="13.5" thickBot="1">
      <c r="A20" s="414" t="str">
        <f>'MSU Work'!A20</f>
        <v>B34</v>
      </c>
      <c r="B20" s="415">
        <f>'MSU Work'!J20</f>
        <v>2991.0269192422729</v>
      </c>
      <c r="C20" s="414" t="str">
        <f>'MSU Work'!C20</f>
        <v>HPDE</v>
      </c>
      <c r="D20" s="414"/>
      <c r="E20" s="416">
        <f>'MSU Work'!R20</f>
        <v>7.9775</v>
      </c>
      <c r="F20" s="417" t="s">
        <v>73</v>
      </c>
      <c r="G20" s="416">
        <f t="shared" si="0"/>
        <v>2.9910269192422727</v>
      </c>
      <c r="H20" s="416">
        <f t="shared" si="3"/>
        <v>1.994375</v>
      </c>
      <c r="I20" s="421">
        <f>'MSU Work'!S20</f>
        <v>49.983094507484374</v>
      </c>
      <c r="J20" s="416">
        <f t="shared" si="2"/>
        <v>3.1239434067177734</v>
      </c>
      <c r="K20" s="416">
        <f>IF(F20="N",3.14159*'MSU Work'!R20^2/4^2,"")</f>
        <v>12.495773626871093</v>
      </c>
    </row>
    <row r="21" spans="1:12" ht="13.5" hidden="1" thickTop="1">
      <c r="A21" s="410" t="str">
        <f>Measurements!A14</f>
        <v>HVIL001-HDPE-RT-SS-S06.0-0012</v>
      </c>
      <c r="B21" s="411">
        <f>Data!S17</f>
        <v>6060.606060606061</v>
      </c>
      <c r="C21" s="64" t="str">
        <f>Data!AE17</f>
        <v>HDPE (HDPE)</v>
      </c>
      <c r="D21" s="64"/>
      <c r="E21" s="420" t="str">
        <f>Measurements!P14</f>
        <v>N/R</v>
      </c>
      <c r="F21" s="413" t="s">
        <v>76</v>
      </c>
      <c r="G21" s="412" t="str">
        <f t="shared" si="0"/>
        <v/>
      </c>
      <c r="H21" s="412" t="str">
        <f t="shared" ref="H21:H34" si="4">IF(F21="N",E21/10,"")</f>
        <v/>
      </c>
      <c r="I21" s="420" t="str">
        <f>Measurements!Q14</f>
        <v>N/R</v>
      </c>
      <c r="J21" s="412" t="e">
        <f>IF(I21="","",(I21/10^2))</f>
        <v>#VALUE!</v>
      </c>
      <c r="K21" s="412" t="str">
        <f>IF(F21="N",(3.14159*Measurements!R14/2*Measurements!S14/2)/10^2,"")</f>
        <v/>
      </c>
      <c r="L21" s="200" t="str">
        <f>Measurements!AI14</f>
        <v>N/R</v>
      </c>
    </row>
    <row r="22" spans="1:12" hidden="1">
      <c r="A22" s="98" t="str">
        <f>Measurements!A15</f>
        <v>HVIL001-HDPE-RT-SS-S06.0-0013</v>
      </c>
      <c r="B22" s="399">
        <f>Data!S18</f>
        <v>4908.4218554943918</v>
      </c>
      <c r="C22" s="12" t="str">
        <f>Data!AE18</f>
        <v>HDPE (HDPE)</v>
      </c>
      <c r="D22" s="12"/>
      <c r="E22" s="401" t="str">
        <f>Measurements!P15</f>
        <v>N/R</v>
      </c>
      <c r="F22" s="407" t="s">
        <v>76</v>
      </c>
      <c r="G22" s="400" t="str">
        <f t="shared" si="0"/>
        <v/>
      </c>
      <c r="H22" s="400" t="str">
        <f t="shared" si="4"/>
        <v/>
      </c>
      <c r="I22" s="401" t="str">
        <f>Measurements!Q15</f>
        <v>N/R</v>
      </c>
      <c r="J22" s="400" t="e">
        <f t="shared" ref="J22:J34" si="5">IF(I22="","",(I22/10^2))</f>
        <v>#VALUE!</v>
      </c>
      <c r="K22" s="400" t="str">
        <f>IF(F22="N",(3.14159*Measurements!R15/2*Measurements!S15/2)/10^2,"")</f>
        <v/>
      </c>
      <c r="L22" s="200" t="str">
        <f>Measurements!AI15</f>
        <v>N/R</v>
      </c>
    </row>
    <row r="23" spans="1:12" ht="13.5" thickTop="1">
      <c r="A23" s="98" t="str">
        <f>Measurements!A16</f>
        <v>HVIL001-HDPE-RT-PC-C12.7-0014</v>
      </c>
      <c r="B23" s="399">
        <f>Data!S19</f>
        <v>6498.8549667434099</v>
      </c>
      <c r="C23" s="12" t="str">
        <f>Data!AE19</f>
        <v>HDPE (HDPE)</v>
      </c>
      <c r="D23" s="12"/>
      <c r="E23" s="401">
        <f>Measurements!P16</f>
        <v>36.299999999999997</v>
      </c>
      <c r="F23" s="407" t="s">
        <v>73</v>
      </c>
      <c r="G23" s="400">
        <f t="shared" si="0"/>
        <v>6.4988549667434103</v>
      </c>
      <c r="H23" s="400">
        <f t="shared" si="4"/>
        <v>3.63</v>
      </c>
      <c r="I23" s="401">
        <f>Measurements!Q16</f>
        <v>1026.3574529999999</v>
      </c>
      <c r="J23" s="400">
        <f t="shared" si="5"/>
        <v>10.263574529999998</v>
      </c>
      <c r="K23" s="400">
        <f>A40/10^2</f>
        <v>16.081485050999998</v>
      </c>
      <c r="L23" s="200">
        <f>Measurements!AI16</f>
        <v>6.7625000000000002</v>
      </c>
    </row>
    <row r="24" spans="1:12" hidden="1">
      <c r="A24" s="98" t="str">
        <f>Measurements!A17</f>
        <v>HVIL001-HDPE-RT-AL-S10.0-0015</v>
      </c>
      <c r="B24" s="399">
        <f>Data!S20</f>
        <v>4676.4484562552625</v>
      </c>
      <c r="C24" s="12" t="str">
        <f>Data!AE20</f>
        <v>HDPE (HDPE)</v>
      </c>
      <c r="D24" s="12"/>
      <c r="E24" s="401" t="str">
        <f>Measurements!P17</f>
        <v>N/R</v>
      </c>
      <c r="F24" s="407" t="s">
        <v>76</v>
      </c>
      <c r="G24" s="400" t="str">
        <f t="shared" si="0"/>
        <v/>
      </c>
      <c r="H24" s="400" t="str">
        <f t="shared" si="4"/>
        <v/>
      </c>
      <c r="I24" s="401" t="str">
        <f>Measurements!Q17</f>
        <v>N/R</v>
      </c>
      <c r="J24" s="400" t="e">
        <f t="shared" si="5"/>
        <v>#VALUE!</v>
      </c>
      <c r="K24" s="400" t="str">
        <f>IF(F24="N",(3.14159*(Measurements!R17/2)*(Measurements!S17/2))/10^2,"")</f>
        <v/>
      </c>
      <c r="L24" s="200" t="str">
        <f>Measurements!AI17</f>
        <v>N/R</v>
      </c>
    </row>
    <row r="25" spans="1:12">
      <c r="A25" s="98" t="str">
        <f>Measurements!A18</f>
        <v>HVIL001-HDPE-RT-AL-S10.0-0016</v>
      </c>
      <c r="B25" s="399">
        <f>Data!S21</f>
        <v>5206.9860256991833</v>
      </c>
      <c r="C25" s="12" t="str">
        <f>Data!AE21</f>
        <v>HDPE (HDPE)</v>
      </c>
      <c r="D25" s="12"/>
      <c r="E25" s="401">
        <f>Measurements!P18</f>
        <v>30.5</v>
      </c>
      <c r="F25" s="407" t="s">
        <v>73</v>
      </c>
      <c r="G25" s="427">
        <f t="shared" si="0"/>
        <v>5.2069860256991829</v>
      </c>
      <c r="H25" s="400">
        <f t="shared" si="4"/>
        <v>3.05</v>
      </c>
      <c r="I25" s="401">
        <f>Measurements!Q18</f>
        <v>725.82509962500001</v>
      </c>
      <c r="J25" s="400">
        <f t="shared" si="5"/>
        <v>7.2582509962500001</v>
      </c>
      <c r="K25" s="400">
        <f t="shared" ref="K25:K26" si="6">A42/10^2</f>
        <v>12.660764779500003</v>
      </c>
      <c r="L25" s="200">
        <f>Measurements!AI18</f>
        <v>6.0750000000000002</v>
      </c>
    </row>
    <row r="26" spans="1:12">
      <c r="A26" s="98" t="str">
        <f>Measurements!A19</f>
        <v>HVIL001-UHMWPE-RT-AL-S10.0-0017</v>
      </c>
      <c r="B26" s="399">
        <f>Data!S22</f>
        <v>4859.8626214034184</v>
      </c>
      <c r="C26" s="12" t="str">
        <f>Data!AE22</f>
        <v>UHMWPE (UHMWPE)</v>
      </c>
      <c r="D26" s="12"/>
      <c r="E26" s="401">
        <f>Measurements!P19</f>
        <v>21</v>
      </c>
      <c r="F26" s="407" t="s">
        <v>73</v>
      </c>
      <c r="G26" s="400">
        <f t="shared" si="0"/>
        <v>4.8598626214034182</v>
      </c>
      <c r="H26" s="400">
        <f t="shared" si="4"/>
        <v>2.1</v>
      </c>
      <c r="I26" s="401">
        <f>Measurements!Q19</f>
        <v>336.46428899999995</v>
      </c>
      <c r="J26" s="400">
        <f t="shared" si="5"/>
        <v>3.3646428899999994</v>
      </c>
      <c r="K26" s="400">
        <f t="shared" si="6"/>
        <v>11.58045051825</v>
      </c>
      <c r="L26" s="200">
        <f>Measurements!AI19</f>
        <v>3.9375</v>
      </c>
    </row>
    <row r="27" spans="1:12" hidden="1">
      <c r="A27" s="98" t="str">
        <f>Measurements!A20</f>
        <v>HVIL001-HDPE-RT-AL-S10.0-0018</v>
      </c>
      <c r="B27" s="399" t="str">
        <f>Data!S23</f>
        <v>N/A</v>
      </c>
      <c r="C27" s="12" t="str">
        <f>Data!AE23</f>
        <v>HDPE (HDPE)</v>
      </c>
      <c r="D27" s="12"/>
      <c r="E27" s="401">
        <f>Measurements!P20</f>
        <v>30.4</v>
      </c>
      <c r="F27" s="407" t="s">
        <v>76</v>
      </c>
      <c r="G27" s="400" t="str">
        <f t="shared" si="0"/>
        <v/>
      </c>
      <c r="H27" s="400" t="str">
        <f t="shared" si="4"/>
        <v/>
      </c>
      <c r="I27" s="401">
        <f>Measurements!Q20</f>
        <v>723.44534520000002</v>
      </c>
      <c r="J27" s="400">
        <f t="shared" si="5"/>
        <v>7.2344534520000003</v>
      </c>
      <c r="K27" s="400" t="str">
        <f>IF(F27="N",(3.14159*(Measurements!R20/2)*(Measurements!S20/2))/10^2,"")</f>
        <v/>
      </c>
      <c r="L27" s="200">
        <f>Measurements!AI20</f>
        <v>5.9337499999999999</v>
      </c>
    </row>
    <row r="28" spans="1:12">
      <c r="A28" s="98" t="str">
        <f>Measurements!A21</f>
        <v>HVIL001-UHMWPE-RT-AL-S10.0-0019</v>
      </c>
      <c r="B28" s="399">
        <f>Data!S24</f>
        <v>5404.5498310843977</v>
      </c>
      <c r="C28" s="12" t="str">
        <f>Data!AE24</f>
        <v>UHMWPE (UHMWPE)</v>
      </c>
      <c r="D28" s="12"/>
      <c r="E28" s="401">
        <f>Measurements!P21</f>
        <v>22.4</v>
      </c>
      <c r="F28" s="407" t="s">
        <v>73</v>
      </c>
      <c r="G28" s="400">
        <f t="shared" si="0"/>
        <v>5.404549831084398</v>
      </c>
      <c r="H28" s="400">
        <f t="shared" si="4"/>
        <v>2.2399999999999998</v>
      </c>
      <c r="I28" s="401">
        <f>Measurements!Q21</f>
        <v>365.93240319999995</v>
      </c>
      <c r="J28" s="400">
        <f t="shared" si="5"/>
        <v>3.6593240319999993</v>
      </c>
      <c r="K28" s="400">
        <f>A45/10^2</f>
        <v>12.628563481999997</v>
      </c>
      <c r="L28" s="200">
        <f>Measurements!AI21</f>
        <v>3.3250000000000002</v>
      </c>
    </row>
    <row r="29" spans="1:12" hidden="1">
      <c r="A29" s="98" t="str">
        <f>Measurements!A22</f>
        <v>HVIL001-LAYERP-RT-AL-S10.0-0020</v>
      </c>
      <c r="B29" s="399">
        <f>Data!S25</f>
        <v>4297.5894462663437</v>
      </c>
      <c r="C29" s="12" t="str">
        <f>Data!AE25</f>
        <v>Polymer Layered (LAYERP)</v>
      </c>
      <c r="D29" s="12"/>
      <c r="E29" s="401" t="str">
        <f>Measurements!P22</f>
        <v>N/R</v>
      </c>
      <c r="F29" s="407" t="s">
        <v>76</v>
      </c>
      <c r="G29" s="400" t="str">
        <f t="shared" si="0"/>
        <v/>
      </c>
      <c r="H29" s="400" t="str">
        <f t="shared" si="4"/>
        <v/>
      </c>
      <c r="I29" s="401" t="str">
        <f>Measurements!Q22</f>
        <v>N/R</v>
      </c>
      <c r="J29" s="400" t="e">
        <f t="shared" si="5"/>
        <v>#VALUE!</v>
      </c>
      <c r="K29" s="400" t="str">
        <f>IF(F29="N",(3.14159*(Measurements!R22/2)*(Measurements!S22/2))/10^2,"")</f>
        <v/>
      </c>
      <c r="L29" s="200" t="str">
        <f>Measurements!AI22</f>
        <v>N/R</v>
      </c>
    </row>
    <row r="30" spans="1:12" hidden="1">
      <c r="A30" s="98" t="str">
        <f>Measurements!A23</f>
        <v>HVIL001-HDPE-RT-AL-S10.0-0021</v>
      </c>
      <c r="B30" s="399">
        <f>Data!S26</f>
        <v>5495.5123005410678</v>
      </c>
      <c r="C30" s="12" t="str">
        <f>Data!AE26</f>
        <v>HDPE (HDPE)</v>
      </c>
      <c r="D30" s="12"/>
      <c r="E30" s="401" t="str">
        <f>Measurements!P23</f>
        <v>N/R</v>
      </c>
      <c r="F30" s="407" t="s">
        <v>76</v>
      </c>
      <c r="G30" s="400" t="str">
        <f t="shared" si="0"/>
        <v/>
      </c>
      <c r="H30" s="400" t="str">
        <f t="shared" si="4"/>
        <v/>
      </c>
      <c r="I30" s="401" t="str">
        <f>Measurements!Q23</f>
        <v>N/R</v>
      </c>
      <c r="J30" s="400" t="e">
        <f t="shared" si="5"/>
        <v>#VALUE!</v>
      </c>
      <c r="K30" s="400" t="str">
        <f>IF(F30="N",(3.14159*(Measurements!R23/2)*(Measurements!S23/2))/10^2,"")</f>
        <v/>
      </c>
      <c r="L30" s="200" t="str">
        <f>Measurements!AI23</f>
        <v>N/R</v>
      </c>
    </row>
    <row r="31" spans="1:12">
      <c r="A31" s="98" t="str">
        <f>Measurements!A24</f>
        <v>HVIL001-HDPE-RT-PC-C12.7-0022</v>
      </c>
      <c r="B31" s="399">
        <f>Data!S27</f>
        <v>6663.6856298796647</v>
      </c>
      <c r="C31" s="12" t="str">
        <f>Data!AE27</f>
        <v>HDPE (HDPE)</v>
      </c>
      <c r="D31" s="12"/>
      <c r="E31" s="401">
        <f>Measurements!P24</f>
        <v>36</v>
      </c>
      <c r="F31" s="407" t="s">
        <v>73</v>
      </c>
      <c r="G31" s="400">
        <f t="shared" si="0"/>
        <v>6.663685629879665</v>
      </c>
      <c r="H31" s="400">
        <f t="shared" si="4"/>
        <v>3.6</v>
      </c>
      <c r="I31" s="401">
        <f>Measurements!Q24</f>
        <v>1015.047729</v>
      </c>
      <c r="J31" s="400">
        <f t="shared" si="5"/>
        <v>10.15047729</v>
      </c>
      <c r="K31" s="400">
        <f t="shared" ref="K31:K34" si="7">A48/10^2</f>
        <v>15.9396422625</v>
      </c>
      <c r="L31" s="200">
        <f>Measurements!AI24</f>
        <v>6.2050000000000001</v>
      </c>
    </row>
    <row r="32" spans="1:12">
      <c r="A32" s="98" t="str">
        <f>Measurements!A25</f>
        <v>HVIL001-HDPE-RT-AL-S10.0-0023</v>
      </c>
      <c r="B32" s="399">
        <f>Data!S28</f>
        <v>5229.5277194341643</v>
      </c>
      <c r="C32" s="12" t="str">
        <f>Data!AE28</f>
        <v>HDPE (HDPE)</v>
      </c>
      <c r="D32" s="12"/>
      <c r="E32" s="401">
        <v>44</v>
      </c>
      <c r="F32" s="407" t="s">
        <v>73</v>
      </c>
      <c r="G32" s="400">
        <f t="shared" si="0"/>
        <v>5.2295277194341647</v>
      </c>
      <c r="H32" s="400">
        <f t="shared" si="4"/>
        <v>4.4000000000000004</v>
      </c>
      <c r="I32" s="401">
        <f>Measurements!Q25</f>
        <v>1209.51215</v>
      </c>
      <c r="J32" s="400">
        <f t="shared" si="5"/>
        <v>12.095121499999999</v>
      </c>
      <c r="K32" s="400">
        <f t="shared" si="7"/>
        <v>18.287823707999998</v>
      </c>
      <c r="L32" s="200">
        <f>Measurements!AI25</f>
        <v>4.7225000000000001</v>
      </c>
    </row>
    <row r="33" spans="1:12">
      <c r="A33" s="98" t="str">
        <f>Measurements!A26</f>
        <v>HVIL001-HDPE-RT-AL-S10.0-0024</v>
      </c>
      <c r="B33" s="399">
        <f>Data!S29</f>
        <v>5342.4595839816038</v>
      </c>
      <c r="C33" s="12" t="str">
        <f>Data!AE29</f>
        <v>HDPE (HDPE)</v>
      </c>
      <c r="D33" s="12"/>
      <c r="E33" s="401">
        <f>Measurements!P26</f>
        <v>47.7</v>
      </c>
      <c r="F33" s="407" t="s">
        <v>73</v>
      </c>
      <c r="G33" s="400">
        <f t="shared" si="0"/>
        <v>5.3424595839816043</v>
      </c>
      <c r="H33" s="400">
        <f t="shared" si="4"/>
        <v>4.7700000000000005</v>
      </c>
      <c r="I33" s="401">
        <f>Measurements!Q26</f>
        <v>1292.4893958750001</v>
      </c>
      <c r="J33" s="400">
        <f t="shared" si="5"/>
        <v>12.924893958750001</v>
      </c>
      <c r="K33" s="400">
        <f t="shared" si="7"/>
        <v>19.024055324500001</v>
      </c>
      <c r="L33" s="200">
        <f>Measurements!AI26</f>
        <v>5.1325000000000003</v>
      </c>
    </row>
    <row r="34" spans="1:12">
      <c r="A34" s="98" t="str">
        <f>Measurements!A27</f>
        <v>HVIL001-HDPE-RT-AL-S10.0-0025</v>
      </c>
      <c r="B34" s="399">
        <f>Data!S30</f>
        <v>4440.2157802782313</v>
      </c>
      <c r="C34" s="12" t="str">
        <f>Data!AE30</f>
        <v>HDPE (HDPE)</v>
      </c>
      <c r="D34" s="12"/>
      <c r="E34" s="401">
        <f>Measurements!P27</f>
        <v>31.2</v>
      </c>
      <c r="F34" s="407" t="s">
        <v>73</v>
      </c>
      <c r="G34" s="400">
        <f t="shared" si="0"/>
        <v>4.4402157802782316</v>
      </c>
      <c r="H34" s="400">
        <f t="shared" si="4"/>
        <v>3.12</v>
      </c>
      <c r="I34" s="401">
        <f>Measurements!Q27</f>
        <v>710.627658</v>
      </c>
      <c r="J34" s="400">
        <f t="shared" si="5"/>
        <v>7.1062765800000003</v>
      </c>
      <c r="K34" s="400">
        <f t="shared" si="7"/>
        <v>11.538745911000001</v>
      </c>
      <c r="L34" s="200">
        <f>Measurements!AI27</f>
        <v>5.3737500000000002</v>
      </c>
    </row>
    <row r="35" spans="1:12" hidden="1"/>
    <row r="36" spans="1:12" hidden="1"/>
    <row r="37" spans="1:12" hidden="1">
      <c r="L37" s="200" t="str">
        <f>Measurements!AI28</f>
        <v>N/R</v>
      </c>
    </row>
    <row r="38" spans="1:12" hidden="1">
      <c r="L38" s="200" t="str">
        <f>Measurements!AI29</f>
        <v>N/R</v>
      </c>
    </row>
    <row r="40" spans="1:12">
      <c r="A40">
        <f>Measurements!X16</f>
        <v>1608.1485050999997</v>
      </c>
    </row>
    <row r="42" spans="1:12">
      <c r="A42">
        <f>Measurements!X18</f>
        <v>1266.0764779500003</v>
      </c>
    </row>
    <row r="43" spans="1:12">
      <c r="A43">
        <f>Measurements!X19</f>
        <v>1158.045051825</v>
      </c>
    </row>
    <row r="44" spans="1:12">
      <c r="A44">
        <f>Measurements!X20</f>
        <v>1167.17922475</v>
      </c>
    </row>
    <row r="45" spans="1:12">
      <c r="A45">
        <f>Measurements!X21</f>
        <v>1262.8563481999997</v>
      </c>
    </row>
    <row r="48" spans="1:12">
      <c r="A48">
        <f>Measurements!X24</f>
        <v>1593.9642262499999</v>
      </c>
    </row>
    <row r="49" spans="1:1">
      <c r="A49">
        <f>Measurements!X25</f>
        <v>1828.7823707999999</v>
      </c>
    </row>
    <row r="50" spans="1:1">
      <c r="A50">
        <f>Measurements!X26</f>
        <v>1902.40553245</v>
      </c>
    </row>
    <row r="51" spans="1:1">
      <c r="A51">
        <f>Measurements!X27</f>
        <v>1153.8745911000001</v>
      </c>
    </row>
  </sheetData>
  <autoFilter ref="A1:L38" xr:uid="{CA0580DA-6702-6D47-B40E-97AF12DA1AB1}">
    <filterColumn colId="10">
      <customFilters>
        <customFilter operator="notEqual" val=" "/>
      </customFilters>
    </filterColumn>
  </autoFilter>
  <conditionalFormatting sqref="C2:C34">
    <cfRule type="containsText" dxfId="0" priority="1" operator="containsText" text="UHMWPE">
      <formula>NOT(ISERROR(SEARCH("UHMWPE",C2)))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A5259-707F-40A6-A42A-4896412119E3}">
  <dimension ref="A1:R117"/>
  <sheetViews>
    <sheetView zoomScale="70" zoomScaleNormal="70" workbookViewId="0">
      <pane xSplit="1" topLeftCell="B1" activePane="topRight" state="frozen"/>
      <selection pane="topRight" activeCell="A87" sqref="A87:P117"/>
    </sheetView>
  </sheetViews>
  <sheetFormatPr defaultColWidth="8.85546875" defaultRowHeight="12.75"/>
  <cols>
    <col min="1" max="1" width="34.140625" style="583" bestFit="1" customWidth="1"/>
    <col min="2" max="2" width="18.28515625" style="1" bestFit="1" customWidth="1"/>
    <col min="3" max="3" width="13.28515625" style="464" customWidth="1"/>
    <col min="4" max="4" width="8" style="464" customWidth="1"/>
    <col min="5" max="5" width="12.28515625" style="464" customWidth="1"/>
    <col min="6" max="6" width="11.140625" style="465" customWidth="1"/>
    <col min="7" max="7" width="14.42578125" style="466" customWidth="1"/>
    <col min="8" max="8" width="14.85546875" style="1" customWidth="1"/>
    <col min="9" max="9" width="9.140625" style="464"/>
    <col min="10" max="10" width="10.85546875" style="464" customWidth="1"/>
    <col min="11" max="11" width="13" style="1" customWidth="1"/>
    <col min="12" max="12" width="10.85546875" style="464" customWidth="1"/>
    <col min="13" max="13" width="70.42578125" style="398" customWidth="1"/>
    <col min="14" max="14" width="14" style="110" customWidth="1"/>
    <col min="15" max="15" width="12.7109375" style="110" customWidth="1"/>
    <col min="16" max="16" width="13.140625" customWidth="1"/>
  </cols>
  <sheetData>
    <row r="1" spans="1:17" s="460" customFormat="1" ht="31.5" customHeight="1">
      <c r="A1" s="580" t="s">
        <v>8</v>
      </c>
      <c r="B1" s="550" t="s">
        <v>185</v>
      </c>
      <c r="C1" s="550" t="s">
        <v>15</v>
      </c>
      <c r="D1" s="550" t="s">
        <v>186</v>
      </c>
      <c r="E1" s="550" t="s">
        <v>187</v>
      </c>
      <c r="F1" s="551" t="s">
        <v>188</v>
      </c>
      <c r="G1" s="552" t="s">
        <v>189</v>
      </c>
      <c r="H1" s="550" t="s">
        <v>190</v>
      </c>
      <c r="I1" s="550" t="s">
        <v>28</v>
      </c>
      <c r="J1" s="550" t="s">
        <v>191</v>
      </c>
      <c r="K1" s="550" t="s">
        <v>192</v>
      </c>
      <c r="L1" s="550" t="s">
        <v>193</v>
      </c>
      <c r="M1" s="550" t="s">
        <v>194</v>
      </c>
      <c r="N1" s="550" t="s">
        <v>195</v>
      </c>
      <c r="O1" s="550" t="s">
        <v>196</v>
      </c>
      <c r="P1" s="550" t="s">
        <v>197</v>
      </c>
      <c r="Q1" s="460" t="s">
        <v>198</v>
      </c>
    </row>
    <row r="2" spans="1:17">
      <c r="A2" s="581" t="str">
        <f>Data!A6</f>
        <v>HVIL-CCRT-MAS06-0001</v>
      </c>
      <c r="B2" s="106" t="str">
        <f>Data!I6</f>
        <v>Aluminum (A)</v>
      </c>
      <c r="C2" s="184">
        <f>Data!K6</f>
        <v>6.4</v>
      </c>
      <c r="D2" s="184">
        <f>IF(A2="","",Data!O6)</f>
        <v>2.2919999999999998</v>
      </c>
      <c r="E2" s="184" t="str">
        <f>IF(A2="","",Data!Q6)</f>
        <v>N/R</v>
      </c>
      <c r="F2" s="461">
        <f>IF(A2="","",Data!S6)</f>
        <v>4203.3</v>
      </c>
      <c r="G2" s="463">
        <f>IF(A2="","",Data!U6)</f>
        <v>1.2</v>
      </c>
      <c r="H2" s="462">
        <f>IF(A2="","",Data!V6)</f>
        <v>110</v>
      </c>
      <c r="I2" s="184" t="str">
        <f>IF(A2="","",Data!X6)</f>
        <v>N/A</v>
      </c>
      <c r="J2" s="184">
        <f>IF(A2="","",Data!AA6)</f>
        <v>140</v>
      </c>
      <c r="K2" s="184">
        <f>IF(A2="","",Data!Y6)</f>
        <v>298</v>
      </c>
      <c r="L2" s="184" t="str">
        <f>IF(A2="","",Data!BC6)</f>
        <v>Y</v>
      </c>
      <c r="M2" s="494" t="str">
        <f>IF(A2="","",Data!BK6)</f>
        <v>KH-Velocity by camera/reversed petal valve, sabot strike</v>
      </c>
      <c r="N2" s="111" t="s">
        <v>68</v>
      </c>
      <c r="O2" s="111" t="s">
        <v>68</v>
      </c>
      <c r="P2" s="106"/>
    </row>
    <row r="3" spans="1:17">
      <c r="A3" s="581" t="str">
        <f>Data!A7</f>
        <v>HVIL-CSCRT-MAS06-0002</v>
      </c>
      <c r="B3" s="106" t="str">
        <f>Data!I7</f>
        <v>Aluminum (A)</v>
      </c>
      <c r="C3" s="184">
        <f>Data!K7</f>
        <v>6.4</v>
      </c>
      <c r="D3" s="184">
        <f>IF(A3="","",Data!O7)</f>
        <v>2.2919999999999998</v>
      </c>
      <c r="E3" s="184" t="str">
        <f>IF(A3="","",Data!Q7)</f>
        <v>N/R</v>
      </c>
      <c r="F3" s="461">
        <f>IF(A3="","",Data!S7)</f>
        <v>6756.7567567567576</v>
      </c>
      <c r="G3" s="463">
        <f>IF(A3="","",Data!U7)</f>
        <v>1.22</v>
      </c>
      <c r="H3" s="462">
        <f>IF(A3="","",Data!V7)</f>
        <v>109.99</v>
      </c>
      <c r="I3" s="184">
        <f>IF(A3="","",Data!X7)</f>
        <v>367.16</v>
      </c>
      <c r="J3" s="184">
        <f>IF(A3="","",Data!AA7)</f>
        <v>141</v>
      </c>
      <c r="K3" s="184">
        <f>IF(A3="","",Data!Y7)</f>
        <v>251</v>
      </c>
      <c r="L3" s="184" t="str">
        <f>IF(A3="","",Data!BC7)</f>
        <v>Y</v>
      </c>
      <c r="M3" s="494" t="str">
        <f>IF(A3="","",Data!BK7)</f>
        <v>KH-midbay HVI test</v>
      </c>
      <c r="N3" s="111" t="s">
        <v>68</v>
      </c>
      <c r="O3" s="111" t="s">
        <v>68</v>
      </c>
      <c r="P3" s="106"/>
    </row>
    <row r="4" spans="1:17">
      <c r="A4" s="581" t="str">
        <f>Data!A8</f>
        <v>HVIL-CSCRT-MAS06-0003</v>
      </c>
      <c r="B4" s="106" t="str">
        <f>Data!I8</f>
        <v>Aluminum (A)</v>
      </c>
      <c r="C4" s="184">
        <f>Data!K8</f>
        <v>6.4</v>
      </c>
      <c r="D4" s="184">
        <f>IF(A4="","",Data!O8)</f>
        <v>2.2919999999999998</v>
      </c>
      <c r="E4" s="184" t="str">
        <f>IF(A4="","",Data!Q8)</f>
        <v>N/R</v>
      </c>
      <c r="F4" s="461">
        <f>IF(A4="","",Data!S8)</f>
        <v>6900</v>
      </c>
      <c r="G4" s="463">
        <f>IF(A4="","",Data!U8)</f>
        <v>1.2030000000000001</v>
      </c>
      <c r="H4" s="462">
        <f>IF(A4="","",Data!V8)</f>
        <v>109.962</v>
      </c>
      <c r="I4" s="184">
        <f>IF(A4="","",Data!X8)</f>
        <v>365</v>
      </c>
      <c r="J4" s="184">
        <f>IF(A4="","",Data!AA8)</f>
        <v>140</v>
      </c>
      <c r="K4" s="184">
        <f>IF(A4="","",Data!Y8)</f>
        <v>200</v>
      </c>
      <c r="L4" s="184" t="str">
        <f>IF(A4="","",Data!BC8)</f>
        <v>Y</v>
      </c>
      <c r="M4" s="494" t="str">
        <f>IF(A4="","",Data!BK8)</f>
        <v>KH-Velocity by camera</v>
      </c>
      <c r="N4" s="111" t="s">
        <v>68</v>
      </c>
      <c r="O4" s="111" t="s">
        <v>68</v>
      </c>
      <c r="P4" s="106"/>
    </row>
    <row r="5" spans="1:17">
      <c r="A5" s="581" t="str">
        <f>Data!A9</f>
        <v>HVIL-CSCRT-MAS06-0004</v>
      </c>
      <c r="B5" s="106" t="str">
        <f>Data!I9</f>
        <v>Aluminum (A)</v>
      </c>
      <c r="C5" s="184">
        <f>Data!K9</f>
        <v>6.4</v>
      </c>
      <c r="D5" s="184">
        <f>IF(A5="","",Data!O9)</f>
        <v>2.2970000000000002</v>
      </c>
      <c r="E5" s="184" t="str">
        <f>IF(A5="","",Data!Q9)</f>
        <v>N/R</v>
      </c>
      <c r="F5" s="461">
        <f>IF(A5="","",Data!S9)</f>
        <v>4010.6951871657757</v>
      </c>
      <c r="G5" s="463">
        <f>IF(A5="","",Data!U9)</f>
        <v>1.2150000000000001</v>
      </c>
      <c r="H5" s="462">
        <f>IF(A5="","",Data!V9)</f>
        <v>110.012</v>
      </c>
      <c r="I5" s="184">
        <f>IF(A5="","",Data!X9)</f>
        <v>365</v>
      </c>
      <c r="J5" s="184">
        <f>IF(A5="","",Data!AA9)</f>
        <v>140</v>
      </c>
      <c r="K5" s="184">
        <f>IF(A5="","",Data!Y9)</f>
        <v>250</v>
      </c>
      <c r="L5" s="184" t="str">
        <f>IF(A5="","",Data!BC9)</f>
        <v>Y</v>
      </c>
      <c r="M5" s="494" t="str">
        <f>IF(A5="","",Data!BK9)</f>
        <v xml:space="preserve">KH - reversed petal valve </v>
      </c>
      <c r="N5" s="111" t="s">
        <v>68</v>
      </c>
      <c r="O5" s="111" t="s">
        <v>68</v>
      </c>
      <c r="P5" s="106"/>
    </row>
    <row r="6" spans="1:17">
      <c r="A6" s="581" t="str">
        <f>Data!A10</f>
        <v>HVIL001-AL-RT-PC-C12.7-0005</v>
      </c>
      <c r="B6" s="106" t="str">
        <f>Data!I10</f>
        <v>Polycarbonate (PC)</v>
      </c>
      <c r="C6" s="184">
        <f>Data!K10</f>
        <v>12.7</v>
      </c>
      <c r="D6" s="184">
        <f>IF(A6="","",Data!O10)</f>
        <v>3.18</v>
      </c>
      <c r="E6" s="184" t="str">
        <f>IF(A6="","",Data!Q10)</f>
        <v>N/R</v>
      </c>
      <c r="F6" s="461">
        <f>IF(A6="","",Data!S10)</f>
        <v>4515.4932896458358</v>
      </c>
      <c r="G6" s="463">
        <f>IF(A6="","",Data!U10)</f>
        <v>1.206</v>
      </c>
      <c r="H6" s="462">
        <f>IF(A6="","",Data!V10)</f>
        <v>110</v>
      </c>
      <c r="I6" s="184">
        <f>IF(A6="","",Data!X10)</f>
        <v>363.24799999999999</v>
      </c>
      <c r="J6" s="184">
        <f>IF(A6="","",Data!AA10)</f>
        <v>142</v>
      </c>
      <c r="K6" s="184">
        <f>IF(A6="","",Data!Y10)</f>
        <v>198</v>
      </c>
      <c r="L6" s="184" t="str">
        <f>IF(A6="","",Data!BC10)</f>
        <v>Y</v>
      </c>
      <c r="M6" s="494" t="str">
        <f>IF(A6="","",Data!BK10)</f>
        <v>JR - velocity  by laser system (new)</v>
      </c>
      <c r="N6" s="111" t="s">
        <v>68</v>
      </c>
      <c r="O6" s="111" t="s">
        <v>68</v>
      </c>
      <c r="P6" s="106"/>
    </row>
    <row r="7" spans="1:17">
      <c r="A7" s="581" t="str">
        <f>Data!A11</f>
        <v>HVIL001-AL-RT-PC-C12.7-0006</v>
      </c>
      <c r="B7" s="106" t="str">
        <f>Data!I11</f>
        <v>Polycarbonate (PC)</v>
      </c>
      <c r="C7" s="184">
        <f>Data!K11</f>
        <v>12.7</v>
      </c>
      <c r="D7" s="184">
        <f>IF(A7="","",Data!O11)</f>
        <v>3.1779999999999999</v>
      </c>
      <c r="E7" s="184" t="str">
        <f>IF(A7="","",Data!Q11)</f>
        <v>N/R</v>
      </c>
      <c r="F7" s="461">
        <f>IF(A7="","",Data!S11)</f>
        <v>5222.0537355595861</v>
      </c>
      <c r="G7" s="463">
        <f>IF(A7="","",Data!U11)</f>
        <v>1.206</v>
      </c>
      <c r="H7" s="462">
        <f>IF(A7="","",Data!V11)</f>
        <v>110.005</v>
      </c>
      <c r="I7" s="184">
        <f>IF(A7="","",Data!X11)</f>
        <v>363.73599999999999</v>
      </c>
      <c r="J7" s="184">
        <f>IF(A7="","",Data!AA11)</f>
        <v>141</v>
      </c>
      <c r="K7" s="184">
        <f>IF(A7="","",Data!Y11)</f>
        <v>1</v>
      </c>
      <c r="L7" s="184" t="str">
        <f>IF(A7="","",Data!BC11)</f>
        <v>Y</v>
      </c>
      <c r="M7" s="494" t="str">
        <f>IF(A7="","",Data!BK11)</f>
        <v>JR - over exposure</v>
      </c>
      <c r="N7" s="111" t="s">
        <v>68</v>
      </c>
      <c r="O7" s="111" t="s">
        <v>68</v>
      </c>
      <c r="P7" s="106"/>
    </row>
    <row r="8" spans="1:17">
      <c r="A8" s="581" t="str">
        <f>Data!A12</f>
        <v>HVIL001-AL-RT-PC-C12.7-0007</v>
      </c>
      <c r="B8" s="106" t="str">
        <f>Data!I12</f>
        <v>Polycarbonate (PC)</v>
      </c>
      <c r="C8" s="184">
        <f>Data!K12</f>
        <v>12.7</v>
      </c>
      <c r="D8" s="184">
        <f>IF(A8="","",Data!O12)</f>
        <v>3.1779999999999999</v>
      </c>
      <c r="E8" s="184" t="str">
        <f>IF(A8="","",Data!Q12)</f>
        <v>N/R</v>
      </c>
      <c r="F8" s="461">
        <f>IF(A8="","",Data!S12)</f>
        <v>4826.2138313883052</v>
      </c>
      <c r="G8" s="463">
        <f>IF(A8="","",Data!U12)</f>
        <v>1.202</v>
      </c>
      <c r="H8" s="462">
        <f>IF(A8="","",Data!V12)</f>
        <v>109.997</v>
      </c>
      <c r="I8" s="184">
        <f>IF(A8="","",Data!X12)</f>
        <v>363.65</v>
      </c>
      <c r="J8" s="184">
        <f>IF(A8="","",Data!AA12)</f>
        <v>141</v>
      </c>
      <c r="K8" s="184">
        <f>IF(A8="","",Data!Y12)</f>
        <v>198</v>
      </c>
      <c r="L8" s="184" t="str">
        <f>IF(A8="","",Data!BC12)</f>
        <v>N</v>
      </c>
      <c r="M8" s="494" t="str">
        <f>IF(A8="","",Data!BK12)</f>
        <v xml:space="preserve">JR - projectile breakup </v>
      </c>
      <c r="N8" s="111" t="s">
        <v>68</v>
      </c>
      <c r="O8" s="111" t="s">
        <v>68</v>
      </c>
      <c r="P8" s="106"/>
    </row>
    <row r="9" spans="1:17">
      <c r="A9" s="581" t="str">
        <f>Data!A13</f>
        <v>HVIL001-AL-RT-PC-C12.7-0008</v>
      </c>
      <c r="B9" s="106" t="str">
        <f>Data!I13</f>
        <v>Polycarbonate (PC)</v>
      </c>
      <c r="C9" s="184">
        <f>Data!K13</f>
        <v>12.7</v>
      </c>
      <c r="D9" s="184">
        <f>IF(A9="","",Data!O13)</f>
        <v>3.1819999999999999</v>
      </c>
      <c r="E9" s="184" t="str">
        <f>IF(A9="","",Data!Q13)</f>
        <v>N/R</v>
      </c>
      <c r="F9" s="461">
        <f>IF(A9="","",Data!S13)</f>
        <v>6022.4547224325897</v>
      </c>
      <c r="G9" s="463">
        <f>IF(A9="","",Data!U13)</f>
        <v>1.21</v>
      </c>
      <c r="H9" s="462">
        <f>IF(A9="","",Data!V13)</f>
        <v>110.405</v>
      </c>
      <c r="I9" s="184">
        <f>IF(A9="","",Data!X13)</f>
        <v>367.46100000000001</v>
      </c>
      <c r="J9" s="184">
        <f>IF(A9="","",Data!AA13)</f>
        <v>140</v>
      </c>
      <c r="K9" s="184">
        <f>IF(A9="","",Data!Y13)</f>
        <v>1</v>
      </c>
      <c r="L9" s="184" t="str">
        <f>IF(A9="","",Data!BC13)</f>
        <v>Y</v>
      </c>
      <c r="M9" s="494">
        <f>IF(A9="","",Data!BK13)</f>
        <v>0</v>
      </c>
      <c r="N9" s="111" t="s">
        <v>68</v>
      </c>
      <c r="O9" s="111" t="s">
        <v>68</v>
      </c>
      <c r="P9" s="106"/>
    </row>
    <row r="10" spans="1:17">
      <c r="A10" s="581" t="str">
        <f>Data!A14</f>
        <v>HVIL001-AL-RT-RN-C12.7-0009</v>
      </c>
      <c r="B10" s="106" t="str">
        <f>Data!I14</f>
        <v>Resin (RN)</v>
      </c>
      <c r="C10" s="184">
        <f>Data!K14</f>
        <v>12.7</v>
      </c>
      <c r="D10" s="184">
        <f>IF(A10="","",Data!O14)</f>
        <v>3.3940000000000001</v>
      </c>
      <c r="E10" s="184" t="str">
        <f>IF(A10="","",Data!Q14)</f>
        <v>N/R</v>
      </c>
      <c r="F10" s="461">
        <f>IF(A10="","",Data!S14)</f>
        <v>4361.532740885018</v>
      </c>
      <c r="G10" s="463">
        <f>IF(A10="","",Data!U14)</f>
        <v>1.2</v>
      </c>
      <c r="H10" s="462">
        <f>IF(A10="","",Data!V14)</f>
        <v>110.041</v>
      </c>
      <c r="I10" s="184">
        <f>IF(A10="","",Data!X14)</f>
        <v>363.59500000000003</v>
      </c>
      <c r="J10" s="184">
        <f>IF(A10="","",Data!AA14)</f>
        <v>140</v>
      </c>
      <c r="K10" s="184">
        <f>IF(A10="","",Data!Y14)</f>
        <v>157</v>
      </c>
      <c r="L10" s="184" t="str">
        <f>IF(A10="","",Data!BC14)</f>
        <v>N</v>
      </c>
      <c r="M10" s="494" t="str">
        <f>IF(A10="","",Data!BK14)</f>
        <v>JR - projectile breakup (Formlabs), buckshot?, CAVITAR laser</v>
      </c>
      <c r="N10" s="111" t="s">
        <v>68</v>
      </c>
      <c r="O10" s="111" t="s">
        <v>68</v>
      </c>
      <c r="P10" s="106"/>
    </row>
    <row r="11" spans="1:17">
      <c r="A11" s="581" t="str">
        <f>Data!A15</f>
        <v>HVIL001-AL-RT-RN-C12.7-0010</v>
      </c>
      <c r="B11" s="106" t="str">
        <f>Data!I15</f>
        <v>Resin (RN)</v>
      </c>
      <c r="C11" s="184">
        <f>Data!K15</f>
        <v>12.7</v>
      </c>
      <c r="D11" s="184">
        <f>IF(A11="","",Data!O15)</f>
        <v>2.9119999999999999</v>
      </c>
      <c r="E11" s="184" t="str">
        <f>IF(A11="","",Data!Q15)</f>
        <v>N/R</v>
      </c>
      <c r="F11" s="461">
        <f>IF(A11="","",Data!S15)</f>
        <v>5757.5396420998204</v>
      </c>
      <c r="G11" s="463">
        <f>IF(A11="","",Data!U15)</f>
        <v>1.204</v>
      </c>
      <c r="H11" s="462">
        <f>IF(A11="","",Data!V15)</f>
        <v>110</v>
      </c>
      <c r="I11" s="184">
        <f>IF(A11="","",Data!X15)</f>
        <v>363.64800000000002</v>
      </c>
      <c r="J11" s="184">
        <f>IF(A11="","",Data!AA15)</f>
        <v>140</v>
      </c>
      <c r="K11" s="184">
        <f>IF(A11="","",Data!Y15)</f>
        <v>1</v>
      </c>
      <c r="L11" s="184" t="str">
        <f>IF(A11="","",Data!BC15)</f>
        <v>Y</v>
      </c>
      <c r="M11" s="494" t="str">
        <f>IF(A11="","",Data!BK15)</f>
        <v xml:space="preserve">JR - CAVITAR laser </v>
      </c>
      <c r="N11" s="111" t="s">
        <v>68</v>
      </c>
      <c r="O11" s="111" t="s">
        <v>68</v>
      </c>
      <c r="P11" s="106"/>
    </row>
    <row r="12" spans="1:17">
      <c r="A12" s="581" t="str">
        <f>Data!A16</f>
        <v>HVIL001-AL-RT-RN-C12.7-0011</v>
      </c>
      <c r="B12" s="106" t="str">
        <f>Data!I16</f>
        <v>Resin (RN)</v>
      </c>
      <c r="C12" s="184">
        <f>Data!K16</f>
        <v>12.7</v>
      </c>
      <c r="D12" s="184">
        <f>IF(A12="","",Data!O16)</f>
        <v>2.802</v>
      </c>
      <c r="E12" s="184" t="str">
        <f>IF(A12="","",Data!Q16)</f>
        <v>N/R</v>
      </c>
      <c r="F12" s="461">
        <f>IF(A12="","",Data!S16)</f>
        <v>4731.7065600001215</v>
      </c>
      <c r="G12" s="463">
        <f>IF(A12="","",Data!U16)</f>
        <v>1.214</v>
      </c>
      <c r="H12" s="462">
        <f>IF(A12="","",Data!V16)</f>
        <v>110.01</v>
      </c>
      <c r="I12" s="184">
        <f>IF(A12="","",Data!X16)</f>
        <v>366.93700000000001</v>
      </c>
      <c r="J12" s="184">
        <f>IF(A12="","",Data!AA16)</f>
        <v>141</v>
      </c>
      <c r="K12" s="184">
        <f>IF(A12="","",Data!Y16)</f>
        <v>1</v>
      </c>
      <c r="L12" s="184" t="str">
        <f>IF(A12="","",Data!BC16)</f>
        <v>N</v>
      </c>
      <c r="M12" s="494" t="str">
        <f>IF(A12="","",Data!BK16)</f>
        <v xml:space="preserve">JR - reversed petal valve, Formlab projectile breakup </v>
      </c>
      <c r="N12" s="111" t="s">
        <v>68</v>
      </c>
      <c r="O12" s="111" t="s">
        <v>68</v>
      </c>
      <c r="P12" s="106"/>
    </row>
    <row r="13" spans="1:17">
      <c r="A13" s="581" t="str">
        <f>Data!A17</f>
        <v>HVIL001-HDPE-RT-SS-S06.0-0012</v>
      </c>
      <c r="B13" s="106" t="str">
        <f>Data!I17</f>
        <v>Stainless Steel (SS)</v>
      </c>
      <c r="C13" s="184">
        <f>Data!K17</f>
        <v>6</v>
      </c>
      <c r="D13" s="184">
        <f>IF(A13="","",Data!O17)</f>
        <v>2.8760000000000003</v>
      </c>
      <c r="E13" s="184" t="str">
        <f>IF(A13="","",Data!Q17)</f>
        <v>N/R</v>
      </c>
      <c r="F13" s="461">
        <f>IF(A13="","",Data!S17)</f>
        <v>6060.606060606061</v>
      </c>
      <c r="G13" s="463">
        <f>IF(A13="","",Data!U17)</f>
        <v>1.3</v>
      </c>
      <c r="H13" s="462">
        <f>IF(A13="","",Data!V17)</f>
        <v>110.01</v>
      </c>
      <c r="I13" s="184">
        <f>IF(A13="","",Data!X17)</f>
        <v>363.404</v>
      </c>
      <c r="J13" s="184">
        <f>IF(A13="","",Data!AA17)</f>
        <v>140</v>
      </c>
      <c r="K13" s="184">
        <f>IF(A13="","",Data!Y17)</f>
        <v>175</v>
      </c>
      <c r="L13" s="184" t="str">
        <f>IF(A13="","",Data!BC17)</f>
        <v>N</v>
      </c>
      <c r="M13" s="494" t="str">
        <f>IF(A13="","",Data!BK17)</f>
        <v>JR - sabot breakup, velocity from Shimadzu</v>
      </c>
      <c r="N13" s="111" t="s">
        <v>68</v>
      </c>
      <c r="O13" s="111" t="s">
        <v>68</v>
      </c>
      <c r="P13" s="106"/>
    </row>
    <row r="14" spans="1:17">
      <c r="A14" s="581" t="str">
        <f>Data!A18</f>
        <v>HVIL001-HDPE-RT-SS-S06.0-0013</v>
      </c>
      <c r="B14" s="106" t="str">
        <f>Data!I18</f>
        <v>Stainless Steel (SS)</v>
      </c>
      <c r="C14" s="184">
        <f>Data!K18</f>
        <v>6</v>
      </c>
      <c r="D14" s="184">
        <f>IF(A14="","",Data!O18)</f>
        <v>2.9119999999999999</v>
      </c>
      <c r="E14" s="184" t="str">
        <f>IF(A14="","",Data!Q18)</f>
        <v>N/R</v>
      </c>
      <c r="F14" s="461">
        <f>IF(A14="","",Data!S18)</f>
        <v>4908.4218554943918</v>
      </c>
      <c r="G14" s="463">
        <f>IF(A14="","",Data!U18)</f>
        <v>1.2</v>
      </c>
      <c r="H14" s="462">
        <f>IF(A14="","",Data!V18)</f>
        <v>110</v>
      </c>
      <c r="I14" s="184">
        <f>IF(A14="","",Data!X18)</f>
        <v>363.404</v>
      </c>
      <c r="J14" s="184">
        <f>IF(A14="","",Data!AA18)</f>
        <v>140</v>
      </c>
      <c r="K14" s="184">
        <f>IF(A14="","",Data!Y18)</f>
        <v>250</v>
      </c>
      <c r="L14" s="184" t="str">
        <f>IF(A14="","",Data!BC18)</f>
        <v>N</v>
      </c>
      <c r="M14" s="494" t="str">
        <f>IF(A14="","",Data!BK18)</f>
        <v xml:space="preserve">JR - sabot failure </v>
      </c>
      <c r="N14" s="111" t="s">
        <v>68</v>
      </c>
      <c r="O14" s="111" t="s">
        <v>68</v>
      </c>
      <c r="P14" s="106"/>
    </row>
    <row r="15" spans="1:17">
      <c r="A15" s="581" t="str">
        <f>Data!A19</f>
        <v>HVIL001-HDPE-RT-PC-C12.7-0014</v>
      </c>
      <c r="B15" s="106" t="str">
        <f>Data!I19</f>
        <v>Polycarbonate (PC)</v>
      </c>
      <c r="C15" s="184">
        <f>Data!K19</f>
        <v>12.7</v>
      </c>
      <c r="D15" s="184">
        <f>IF(A15="","",Data!O19)</f>
        <v>2.1869999999999998</v>
      </c>
      <c r="E15" s="184" t="str">
        <f>IF(A15="","",Data!Q19)</f>
        <v>N/R</v>
      </c>
      <c r="F15" s="461">
        <f>IF(A15="","",Data!S19)</f>
        <v>6498.8549667434099</v>
      </c>
      <c r="G15" s="463">
        <f>IF(A15="","",Data!U19)</f>
        <v>1.2</v>
      </c>
      <c r="H15" s="462">
        <f>IF(A15="","",Data!V19)</f>
        <v>110.009</v>
      </c>
      <c r="I15" s="184">
        <f>IF(A15="","",Data!X19)</f>
        <v>363.404</v>
      </c>
      <c r="J15" s="184">
        <f>IF(A15="","",Data!AA19)</f>
        <v>140</v>
      </c>
      <c r="K15" s="184">
        <f>IF(A15="","",Data!Y19)</f>
        <v>1</v>
      </c>
      <c r="L15" s="184" t="str">
        <f>IF(A15="","",Data!BC19)</f>
        <v>Y</v>
      </c>
      <c r="M15" s="494">
        <f>IF(A15="","",Data!BK19)</f>
        <v>0</v>
      </c>
      <c r="N15" s="111" t="s">
        <v>68</v>
      </c>
      <c r="O15" s="111" t="s">
        <v>68</v>
      </c>
      <c r="P15" s="106"/>
    </row>
    <row r="16" spans="1:17">
      <c r="A16" s="581" t="str">
        <f>Data!A20</f>
        <v>HVIL001-HDPE-RT-AL-S10.0-0015</v>
      </c>
      <c r="B16" s="106" t="str">
        <f>Data!I20</f>
        <v>Aluminum (AL)</v>
      </c>
      <c r="C16" s="184">
        <f>Data!K20</f>
        <v>10</v>
      </c>
      <c r="D16" s="184">
        <f>IF(A16="","",Data!O20)</f>
        <v>3.3849999999999998</v>
      </c>
      <c r="E16" s="184" t="str">
        <f>IF(A16="","",Data!Q20)</f>
        <v>N/R</v>
      </c>
      <c r="F16" s="461">
        <f>IF(A16="","",Data!S20)</f>
        <v>4676.4484562552625</v>
      </c>
      <c r="G16" s="463">
        <f>IF(A16="","",Data!U20)</f>
        <v>1.206</v>
      </c>
      <c r="H16" s="462">
        <f>IF(A16="","",Data!V20)</f>
        <v>110.08199999999999</v>
      </c>
      <c r="I16" s="184">
        <f>IF(A16="","",Data!X20)</f>
        <v>363.65199999999999</v>
      </c>
      <c r="J16" s="184">
        <f>IF(A16="","",Data!AA20)</f>
        <v>142</v>
      </c>
      <c r="K16" s="184">
        <f>IF(A16="","",Data!Y20)</f>
        <v>210</v>
      </c>
      <c r="L16" s="184" t="str">
        <f>IF(A16="","",Data!BC20)</f>
        <v>Y</v>
      </c>
      <c r="M16" s="494" t="str">
        <f>IF(A16="","",Data!BK20)</f>
        <v>JR - slight sabot strike</v>
      </c>
      <c r="N16" s="111" t="s">
        <v>68</v>
      </c>
      <c r="O16" s="111" t="s">
        <v>68</v>
      </c>
      <c r="P16" s="106"/>
    </row>
    <row r="17" spans="1:16">
      <c r="A17" s="581" t="str">
        <f>Data!A21</f>
        <v>HVIL001-HDPE-RT-AL-S10.0-0016</v>
      </c>
      <c r="B17" s="106" t="str">
        <f>Data!I21</f>
        <v>Aluminum (AL)</v>
      </c>
      <c r="C17" s="184">
        <f>Data!K21</f>
        <v>10</v>
      </c>
      <c r="D17" s="184">
        <f>IF(A17="","",Data!O21)</f>
        <v>3.395</v>
      </c>
      <c r="E17" s="184" t="str">
        <f>IF(A17="","",Data!Q21)</f>
        <v>N/R</v>
      </c>
      <c r="F17" s="461">
        <f>IF(A17="","",Data!S21)</f>
        <v>5206.9860256991833</v>
      </c>
      <c r="G17" s="463">
        <f>IF(A17="","",Data!U21)</f>
        <v>1.202</v>
      </c>
      <c r="H17" s="462">
        <f>IF(A17="","",Data!V21)</f>
        <v>110.173</v>
      </c>
      <c r="I17" s="184">
        <f>IF(A17="","",Data!X21)</f>
        <v>363.63799999999998</v>
      </c>
      <c r="J17" s="184">
        <f>IF(A17="","",Data!AA21)</f>
        <v>140</v>
      </c>
      <c r="K17" s="184">
        <f>IF(A17="","",Data!Y21)</f>
        <v>252</v>
      </c>
      <c r="L17" s="184" t="str">
        <f>IF(A17="","",Data!BC21)</f>
        <v>Y</v>
      </c>
      <c r="M17" s="494" t="str">
        <f>IF(A17="","",Data!BK21)</f>
        <v>JR - too much backfill</v>
      </c>
      <c r="N17" s="111" t="s">
        <v>68</v>
      </c>
      <c r="O17" s="111" t="s">
        <v>68</v>
      </c>
      <c r="P17" s="106"/>
    </row>
    <row r="18" spans="1:16">
      <c r="A18" s="581" t="str">
        <f>Data!A22</f>
        <v>HVIL001-UHMWPE-RT-AL-S10.0-0017</v>
      </c>
      <c r="B18" s="106" t="str">
        <f>Data!I22</f>
        <v>Aluminum (AL)</v>
      </c>
      <c r="C18" s="184">
        <f>Data!K22</f>
        <v>10</v>
      </c>
      <c r="D18" s="184">
        <f>IF(A18="","",Data!O22)</f>
        <v>3.3809999999999998</v>
      </c>
      <c r="E18" s="184" t="str">
        <f>IF(A18="","",Data!Q22)</f>
        <v>N/R</v>
      </c>
      <c r="F18" s="461">
        <f>IF(A18="","",Data!S22)</f>
        <v>4859.8626214034184</v>
      </c>
      <c r="G18" s="463">
        <f>IF(A18="","",Data!U22)</f>
        <v>1.2989999999999999</v>
      </c>
      <c r="H18" s="462">
        <f>IF(A18="","",Data!V22)</f>
        <v>110.003</v>
      </c>
      <c r="I18" s="184">
        <f>IF(A18="","",Data!X22)</f>
        <v>366.40800000000002</v>
      </c>
      <c r="J18" s="184">
        <f>IF(A18="","",Data!AA22)</f>
        <v>140</v>
      </c>
      <c r="K18" s="184">
        <f>IF(A18="","",Data!Y22)</f>
        <v>210</v>
      </c>
      <c r="L18" s="184" t="str">
        <f>IF(A18="","",Data!BC22)</f>
        <v>Y</v>
      </c>
      <c r="M18" s="494">
        <f>IF(A18="","",Data!BK22)</f>
        <v>0</v>
      </c>
      <c r="N18" s="111" t="s">
        <v>68</v>
      </c>
      <c r="O18" s="111" t="s">
        <v>68</v>
      </c>
      <c r="P18" s="106"/>
    </row>
    <row r="19" spans="1:16">
      <c r="A19" s="581" t="str">
        <f>Data!A23</f>
        <v>HVIL001-HDPE-RT-AL-S10.0-0018</v>
      </c>
      <c r="B19" s="106" t="str">
        <f>Data!I23</f>
        <v>Aluminum (AL)</v>
      </c>
      <c r="C19" s="184">
        <f>Data!K23</f>
        <v>10</v>
      </c>
      <c r="D19" s="184">
        <f>IF(A19="","",Data!O23)</f>
        <v>3.3820000000000001</v>
      </c>
      <c r="E19" s="184" t="str">
        <f>IF(A19="","",Data!Q23)</f>
        <v>N/R</v>
      </c>
      <c r="F19" s="461" t="str">
        <f>IF(A19="","",Data!S23)</f>
        <v>N/A</v>
      </c>
      <c r="G19" s="463">
        <f>IF(A19="","",Data!U23)</f>
        <v>1.3009999999999999</v>
      </c>
      <c r="H19" s="462">
        <f>IF(A19="","",Data!V23)</f>
        <v>109.999</v>
      </c>
      <c r="I19" s="184">
        <f>IF(A19="","",Data!X23)</f>
        <v>363.86</v>
      </c>
      <c r="J19" s="184">
        <f>IF(A19="","",Data!AA23)</f>
        <v>140</v>
      </c>
      <c r="K19" s="184">
        <f>IF(A19="","",Data!Y23)</f>
        <v>210</v>
      </c>
      <c r="L19" s="184" t="str">
        <f>IF(A19="","",Data!BC23)</f>
        <v>N</v>
      </c>
      <c r="M19" s="494" t="str">
        <f>IF(A19="","",Data!BK23)</f>
        <v xml:space="preserve">JR - NO VID, NO TRIGGER </v>
      </c>
      <c r="N19" s="111" t="s">
        <v>68</v>
      </c>
      <c r="O19" s="111" t="s">
        <v>68</v>
      </c>
      <c r="P19" s="106"/>
    </row>
    <row r="20" spans="1:16">
      <c r="A20" s="581" t="str">
        <f>Data!A24</f>
        <v>HVIL001-UHMWPE-RT-AL-S10.0-0019</v>
      </c>
      <c r="B20" s="106" t="str">
        <f>Data!I24</f>
        <v>Aluminum (AL)</v>
      </c>
      <c r="C20" s="184">
        <f>Data!K24</f>
        <v>10</v>
      </c>
      <c r="D20" s="184">
        <f>IF(A20="","",Data!O24)</f>
        <v>3.407</v>
      </c>
      <c r="E20" s="184" t="str">
        <f>IF(A20="","",Data!Q24)</f>
        <v>N/R</v>
      </c>
      <c r="F20" s="461">
        <f>IF(A20="","",Data!S24)</f>
        <v>5404.5498310843977</v>
      </c>
      <c r="G20" s="463">
        <f>IF(A20="","",Data!U24)</f>
        <v>1.302</v>
      </c>
      <c r="H20" s="462">
        <f>IF(A20="","",Data!V24)</f>
        <v>110.2</v>
      </c>
      <c r="I20" s="184">
        <f>IF(A20="","",Data!X24)</f>
        <v>363.78399999999999</v>
      </c>
      <c r="J20" s="184">
        <f>IF(A20="","",Data!AA24)</f>
        <v>140</v>
      </c>
      <c r="K20" s="184">
        <f>IF(A20="","",Data!Y24)</f>
        <v>200</v>
      </c>
      <c r="L20" s="184" t="str">
        <f>IF(A20="","",Data!BC24)</f>
        <v>Y</v>
      </c>
      <c r="M20" s="494">
        <f>IF(A20="","",Data!BK24)</f>
        <v>0</v>
      </c>
      <c r="N20" s="111" t="s">
        <v>68</v>
      </c>
      <c r="O20" s="111" t="s">
        <v>68</v>
      </c>
      <c r="P20" s="106"/>
    </row>
    <row r="21" spans="1:16">
      <c r="A21" s="581" t="str">
        <f>Data!A25</f>
        <v>HVIL001-LAYERP-RT-AL-S10.0-0020</v>
      </c>
      <c r="B21" s="106" t="str">
        <f>Data!I25</f>
        <v>Aluminum (AL)</v>
      </c>
      <c r="C21" s="184">
        <f>Data!K25</f>
        <v>10</v>
      </c>
      <c r="D21" s="184">
        <f>IF(A21="","",Data!O25)</f>
        <v>3.3860000000000001</v>
      </c>
      <c r="E21" s="184" t="str">
        <f>IF(A21="","",Data!Q25)</f>
        <v>N/R</v>
      </c>
      <c r="F21" s="461">
        <f>IF(A21="","",Data!S25)</f>
        <v>4297.5894462663437</v>
      </c>
      <c r="G21" s="463">
        <f>IF(A21="","",Data!U25)</f>
        <v>1.32</v>
      </c>
      <c r="H21" s="462">
        <f>IF(A21="","",Data!V25)</f>
        <v>109.999</v>
      </c>
      <c r="I21" s="184">
        <f>IF(A21="","",Data!X25)</f>
        <v>366.29300000000001</v>
      </c>
      <c r="J21" s="184">
        <f>IF(A21="","",Data!AA25)</f>
        <v>140</v>
      </c>
      <c r="K21" s="184">
        <f>IF(A21="","",Data!Y25)</f>
        <v>200</v>
      </c>
      <c r="L21" s="184" t="str">
        <f>IF(A21="","",Data!BC25)</f>
        <v>Y</v>
      </c>
      <c r="M21" s="494">
        <f>IF(A21="","",Data!BK25)</f>
        <v>0</v>
      </c>
      <c r="N21" s="111" t="s">
        <v>68</v>
      </c>
      <c r="O21" s="111" t="s">
        <v>68</v>
      </c>
      <c r="P21" s="106"/>
    </row>
    <row r="22" spans="1:16">
      <c r="A22" s="581" t="str">
        <f>Data!A26</f>
        <v>HVIL001-HDPE-RT-AL-S10.0-0021</v>
      </c>
      <c r="B22" s="106" t="str">
        <f>Data!I26</f>
        <v>Aluminum (AL)</v>
      </c>
      <c r="C22" s="184">
        <f>Data!K26</f>
        <v>10</v>
      </c>
      <c r="D22" s="184">
        <f>IF(A22="","",Data!O26)</f>
        <v>3.3879999999999999</v>
      </c>
      <c r="E22" s="184" t="str">
        <f>IF(A22="","",Data!Q26)</f>
        <v>N/R</v>
      </c>
      <c r="F22" s="461">
        <f>IF(A22="","",Data!S26)</f>
        <v>5495.5123005410678</v>
      </c>
      <c r="G22" s="463">
        <f>IF(A22="","",Data!U26)</f>
        <v>1.329</v>
      </c>
      <c r="H22" s="462">
        <f>IF(A22="","",Data!V26)</f>
        <v>110.10299999999999</v>
      </c>
      <c r="I22" s="184">
        <f>IF(A22="","",Data!X26)</f>
        <v>363.34500000000003</v>
      </c>
      <c r="J22" s="184">
        <f>IF(A22="","",Data!AA26)</f>
        <v>140</v>
      </c>
      <c r="K22" s="184">
        <f>IF(A22="","",Data!Y26)</f>
        <v>175</v>
      </c>
      <c r="L22" s="184" t="str">
        <f>IF(A22="","",Data!BC26)</f>
        <v>N</v>
      </c>
      <c r="M22" s="494" t="str">
        <f>IF(A22="","",Data!BK26)</f>
        <v>JR - sabot stike, over exposure, front face</v>
      </c>
      <c r="N22" s="111">
        <v>13008</v>
      </c>
      <c r="O22" s="111">
        <v>6.9499999999999996E-3</v>
      </c>
      <c r="P22" s="106"/>
    </row>
    <row r="23" spans="1:16">
      <c r="A23" s="581" t="str">
        <f>Data!A27</f>
        <v>HVIL001-HDPE-RT-PC-C12.7-0022</v>
      </c>
      <c r="B23" s="106" t="str">
        <f>Data!I27</f>
        <v>Polycarbonate (PC)</v>
      </c>
      <c r="C23" s="184">
        <f>Data!K27</f>
        <v>12.7</v>
      </c>
      <c r="D23" s="184">
        <f>IF(A23="","",Data!O27)</f>
        <v>2.1869999999999998</v>
      </c>
      <c r="E23" s="184" t="str">
        <f>IF(A23="","",Data!Q27)</f>
        <v>N/R</v>
      </c>
      <c r="F23" s="461">
        <f>IF(A23="","",Data!S27)</f>
        <v>6663.6856298796647</v>
      </c>
      <c r="G23" s="463">
        <f>IF(A23="","",Data!U27)</f>
        <v>1.3009999999999999</v>
      </c>
      <c r="H23" s="462">
        <f>IF(A23="","",Data!V27)</f>
        <v>110.06399999999999</v>
      </c>
      <c r="I23" s="184">
        <f>IF(A23="","",Data!X27)</f>
        <v>365.33300000000003</v>
      </c>
      <c r="J23" s="184">
        <f>IF(A23="","",Data!AA27)</f>
        <v>140</v>
      </c>
      <c r="K23" s="184">
        <f>IF(A23="","",Data!Y27)</f>
        <v>1</v>
      </c>
      <c r="L23" s="184" t="str">
        <f>IF(A23="","",Data!BC27)</f>
        <v>Y</v>
      </c>
      <c r="M23" s="494" t="str">
        <f>IF(A23="","",Data!BK27)</f>
        <v>JR - front face, oversaturation</v>
      </c>
      <c r="N23" s="111" t="s">
        <v>68</v>
      </c>
      <c r="O23" s="111" t="s">
        <v>68</v>
      </c>
      <c r="P23" s="106"/>
    </row>
    <row r="24" spans="1:16">
      <c r="A24" s="581" t="str">
        <f>Data!A28</f>
        <v>HVIL001-HDPE-RT-AL-S10.0-0023</v>
      </c>
      <c r="B24" s="106" t="str">
        <f>Data!I28</f>
        <v>Aluminum (AL)</v>
      </c>
      <c r="C24" s="184">
        <f>Data!K28</f>
        <v>10</v>
      </c>
      <c r="D24" s="184">
        <f>IF(A24="","",Data!O28)</f>
        <v>3.39</v>
      </c>
      <c r="E24" s="184" t="str">
        <f>IF(A24="","",Data!Q28)</f>
        <v>N/R</v>
      </c>
      <c r="F24" s="461">
        <f>IF(A24="","",Data!S28)</f>
        <v>5229.5277194341643</v>
      </c>
      <c r="G24" s="463">
        <f>IF(A24="","",Data!U28)</f>
        <v>1.3</v>
      </c>
      <c r="H24" s="462">
        <f>IF(A24="","",Data!V28)</f>
        <v>110.001</v>
      </c>
      <c r="I24" s="184">
        <f>IF(A24="","",Data!X28)</f>
        <v>363.64499999999998</v>
      </c>
      <c r="J24" s="184">
        <f>IF(A24="","",Data!AA28)</f>
        <v>140</v>
      </c>
      <c r="K24" s="184">
        <f>IF(A24="","",Data!Y28)</f>
        <v>200</v>
      </c>
      <c r="L24" s="184" t="str">
        <f>IF(A24="","",Data!BC28)</f>
        <v>Y</v>
      </c>
      <c r="M24" s="494" t="str">
        <f>IF(A24="","",Data!BK28)</f>
        <v>JR - camera oversaturation</v>
      </c>
      <c r="N24" s="111">
        <v>11924</v>
      </c>
      <c r="O24" s="111">
        <v>6.5545999999999998E-3</v>
      </c>
      <c r="P24" s="106"/>
    </row>
    <row r="25" spans="1:16">
      <c r="A25" s="581" t="str">
        <f>Data!A29</f>
        <v>HVIL001-HDPE-RT-AL-S10.0-0024</v>
      </c>
      <c r="B25" s="106" t="str">
        <f>Data!I29</f>
        <v>Aluminum (AL)</v>
      </c>
      <c r="C25" s="184">
        <f>Data!K29</f>
        <v>10</v>
      </c>
      <c r="D25" s="184">
        <f>IF(A25="","",Data!O29)</f>
        <v>3.383</v>
      </c>
      <c r="E25" s="184" t="str">
        <f>IF(A25="","",Data!Q29)</f>
        <v>N/R</v>
      </c>
      <c r="F25" s="461">
        <f>IF(A25="","",Data!S29)</f>
        <v>5342.4595839816038</v>
      </c>
      <c r="G25" s="463">
        <f>IF(A25="","",Data!U29)</f>
        <v>1.3</v>
      </c>
      <c r="H25" s="462">
        <f>IF(A25="","",Data!V29)</f>
        <v>109.99</v>
      </c>
      <c r="I25" s="184">
        <f>IF(A25="","",Data!X29)</f>
        <v>364.80399999999997</v>
      </c>
      <c r="J25" s="184">
        <f>IF(A25="","",Data!AA29)</f>
        <v>140</v>
      </c>
      <c r="K25" s="184">
        <f>IF(A25="","",Data!Y29)</f>
        <v>199</v>
      </c>
      <c r="L25" s="184" t="str">
        <f>IF(A25="","",Data!BC29)</f>
        <v>Y</v>
      </c>
      <c r="M25" s="494" t="str">
        <f>IF(A25="","",Data!BK29)</f>
        <v xml:space="preserve">JR - oblique shot yaw </v>
      </c>
      <c r="N25" s="111">
        <v>13008</v>
      </c>
      <c r="O25" s="111">
        <v>6.4849E-3</v>
      </c>
      <c r="P25" s="106"/>
    </row>
    <row r="26" spans="1:16">
      <c r="A26" s="581" t="str">
        <f>Data!A30</f>
        <v>HVIL001-HDPE-RT-AL-S10.0-0025</v>
      </c>
      <c r="B26" s="106" t="str">
        <f>Data!I30</f>
        <v>Aluminum (AL)</v>
      </c>
      <c r="C26" s="184">
        <f>Data!K30</f>
        <v>10</v>
      </c>
      <c r="D26" s="184">
        <f>IF(A26="","",Data!O30)</f>
        <v>3.3940000000000001</v>
      </c>
      <c r="E26" s="184" t="str">
        <f>IF(A26="","",Data!Q30)</f>
        <v>N/R</v>
      </c>
      <c r="F26" s="461">
        <f>IF(A26="","",Data!S30)</f>
        <v>4440.2157802782313</v>
      </c>
      <c r="G26" s="463">
        <f>IF(A26="","",Data!U30)</f>
        <v>1.3009999999999999</v>
      </c>
      <c r="H26" s="462">
        <f>IF(A26="","",Data!V30)</f>
        <v>110.004</v>
      </c>
      <c r="I26" s="184">
        <f>IF(A26="","",Data!X30)</f>
        <v>365.3</v>
      </c>
      <c r="J26" s="184">
        <f>IF(A26="","",Data!AA30)</f>
        <v>140</v>
      </c>
      <c r="K26" s="184">
        <f>IF(A26="","",Data!Y30)</f>
        <v>200</v>
      </c>
      <c r="L26" s="184" t="str">
        <f>IF(A26="","",Data!BC30)</f>
        <v>Y</v>
      </c>
      <c r="M26" s="494" t="str">
        <f>IF(A26="","",Data!BK30)</f>
        <v>JR - oblique shot pitch</v>
      </c>
      <c r="N26" s="111">
        <v>5420</v>
      </c>
      <c r="O26" s="111">
        <v>1.0191E-2</v>
      </c>
      <c r="P26" s="106"/>
    </row>
    <row r="27" spans="1:16">
      <c r="A27" s="581" t="str">
        <f>Data!A31</f>
        <v>HVIL001-UHMWPE-RT-RN-C12.7-0026</v>
      </c>
      <c r="B27" s="106" t="str">
        <f>Data!I31</f>
        <v>Resin (RN)</v>
      </c>
      <c r="C27" s="184">
        <f>Data!K31</f>
        <v>12.7</v>
      </c>
      <c r="D27" s="184">
        <f>IF(A27="","",Data!O31)</f>
        <v>2.718</v>
      </c>
      <c r="E27" s="184" t="str">
        <f>IF(A27="","",Data!Q31)</f>
        <v>N/R</v>
      </c>
      <c r="F27" s="461" t="str">
        <f>IF(A27="","",Data!S31)</f>
        <v>N/R</v>
      </c>
      <c r="G27" s="463">
        <f>IF(A27="","",Data!U31)</f>
        <v>1.4490000000000001</v>
      </c>
      <c r="H27" s="462">
        <f>IF(A27="","",Data!V31)</f>
        <v>105.348</v>
      </c>
      <c r="I27" s="184">
        <f>IF(A27="","",Data!X31)</f>
        <v>364.358</v>
      </c>
      <c r="J27" s="184">
        <f>IF(A27="","",Data!AA31)</f>
        <v>140</v>
      </c>
      <c r="K27" s="184">
        <f>IF(A27="","",Data!Y31)</f>
        <v>1</v>
      </c>
      <c r="L27" s="184" t="str">
        <f>IF(A27="","",Data!BC31)</f>
        <v>N</v>
      </c>
      <c r="M27" s="494" t="str">
        <f>IF(A27="","",Data!BK31)</f>
        <v xml:space="preserve">JR - projectile breakup, no trigger to camera </v>
      </c>
      <c r="N27" s="111" t="s">
        <v>68</v>
      </c>
      <c r="O27" s="111" t="s">
        <v>68</v>
      </c>
      <c r="P27" s="106"/>
    </row>
    <row r="28" spans="1:16">
      <c r="A28" s="581" t="str">
        <f>Data!A32</f>
        <v>HVIL001-UHMWPE-RT-ST-S10.0-0027</v>
      </c>
      <c r="B28" s="106" t="str">
        <f>Data!I32</f>
        <v>Steel (ST)</v>
      </c>
      <c r="C28" s="184">
        <f>Data!K32</f>
        <v>10</v>
      </c>
      <c r="D28" s="184">
        <f>IF(A28="","",Data!O32)</f>
        <v>6.0830000000000002</v>
      </c>
      <c r="E28" s="184" t="str">
        <f>IF(A28="","",Data!Q32)</f>
        <v>N/R</v>
      </c>
      <c r="F28" s="461">
        <f>IF(A28="","",Data!S32)</f>
        <v>4164.9130647283719</v>
      </c>
      <c r="G28" s="463">
        <f>IF(A28="","",Data!U32)</f>
        <v>1.42</v>
      </c>
      <c r="H28" s="462">
        <f>IF(A28="","",Data!V32)</f>
        <v>100.19499999999999</v>
      </c>
      <c r="I28" s="184">
        <f>IF(A28="","",Data!X32)</f>
        <v>364.358</v>
      </c>
      <c r="J28" s="184">
        <f>IF(A28="","",Data!AA32)</f>
        <v>140</v>
      </c>
      <c r="K28" s="184">
        <f>IF(A28="","",Data!Y32)</f>
        <v>200</v>
      </c>
      <c r="L28" s="184" t="str">
        <f>IF(A28="","",Data!BC32)</f>
        <v>N</v>
      </c>
      <c r="M28" s="494" t="str">
        <f>IF(A28="","",Data!BK32)</f>
        <v xml:space="preserve">JR - projectile breakup/sabot failure, nothing useful on video </v>
      </c>
      <c r="N28" s="111" t="s">
        <v>68</v>
      </c>
      <c r="O28" s="111" t="s">
        <v>68</v>
      </c>
      <c r="P28" s="106"/>
    </row>
    <row r="29" spans="1:16">
      <c r="A29" s="581" t="str">
        <f>Data!A33</f>
        <v>HVIL001-UHMWPE-RT-AL-S10.0-0028</v>
      </c>
      <c r="B29" s="106" t="str">
        <f>Data!I33</f>
        <v>Aluminum (AL)</v>
      </c>
      <c r="C29" s="184">
        <f>Data!K33</f>
        <v>10</v>
      </c>
      <c r="D29" s="184">
        <f>IF(A29="","",Data!O33)</f>
        <v>3.3809999999999998</v>
      </c>
      <c r="E29" s="184" t="str">
        <f>IF(A29="","",Data!Q33)</f>
        <v>N/R</v>
      </c>
      <c r="F29" s="461">
        <f>IF(A29="","",Data!S33)</f>
        <v>4664.8052849631586</v>
      </c>
      <c r="G29" s="463">
        <f>IF(A29="","",Data!U33)</f>
        <v>1.401</v>
      </c>
      <c r="H29" s="462">
        <f>IF(A29="","",Data!V33)</f>
        <v>100.517</v>
      </c>
      <c r="I29" s="184">
        <f>IF(A29="","",Data!X33)</f>
        <v>362.56799999999998</v>
      </c>
      <c r="J29" s="184">
        <f>IF(A29="","",Data!AA33)</f>
        <v>140</v>
      </c>
      <c r="K29" s="184">
        <f>IF(A29="","",Data!Y33)</f>
        <v>200</v>
      </c>
      <c r="L29" s="184" t="str">
        <f>IF(A29="","",Data!BC33)</f>
        <v>Y</v>
      </c>
      <c r="M29" s="494" t="str">
        <f>IF(A29="","",Data!BK33)</f>
        <v xml:space="preserve">JR - good shot and clean video </v>
      </c>
      <c r="N29" s="111">
        <v>8672</v>
      </c>
      <c r="O29" s="111">
        <v>8.9899999999999997E-3</v>
      </c>
      <c r="P29" s="106"/>
    </row>
    <row r="30" spans="1:16">
      <c r="A30" s="581" t="str">
        <f>Data!A34</f>
        <v>HVIL001-UHMWPE-RT-AL-S10.0-0029</v>
      </c>
      <c r="B30" s="106" t="str">
        <f>Data!I34</f>
        <v>Aluminum (AL)</v>
      </c>
      <c r="C30" s="184">
        <f>Data!K34</f>
        <v>10</v>
      </c>
      <c r="D30" s="184">
        <f>IF(A30="","",Data!O34)</f>
        <v>3.387</v>
      </c>
      <c r="E30" s="184">
        <f>IF(A30="","",Data!Q34)</f>
        <v>114.06699999999999</v>
      </c>
      <c r="F30" s="461">
        <f>IF(A30="","",Data!S34)</f>
        <v>4937.7005385352468</v>
      </c>
      <c r="G30" s="463">
        <f>IF(A30="","",Data!U34)</f>
        <v>1.5109999999999999</v>
      </c>
      <c r="H30" s="462">
        <f>IF(A30="","",Data!V34)</f>
        <v>100.004</v>
      </c>
      <c r="I30" s="184">
        <f>IF(A30="","",Data!X34)</f>
        <v>365.33199999999999</v>
      </c>
      <c r="J30" s="184">
        <f>IF(A30="","",Data!AA34)</f>
        <v>140</v>
      </c>
      <c r="K30" s="184">
        <f>IF(A30="","",Data!Y34)</f>
        <v>200</v>
      </c>
      <c r="L30" s="184" t="str">
        <f>IF(A30="","",Data!BC34)</f>
        <v>Y</v>
      </c>
      <c r="M30" s="494" t="str">
        <f>IF(A30="","",Data!BK34)</f>
        <v xml:space="preserve">JR - good shot and clean video </v>
      </c>
      <c r="N30" s="111">
        <v>11382</v>
      </c>
      <c r="O30" s="111">
        <v>7.9643000000000005E-3</v>
      </c>
      <c r="P30" s="106"/>
    </row>
    <row r="31" spans="1:16">
      <c r="A31" s="581" t="str">
        <f>Data!A35</f>
        <v>HVIL001-UHMWPE-RT-AL-S10.0-0030</v>
      </c>
      <c r="B31" s="106" t="str">
        <f>Data!I35</f>
        <v>Aluminum (AL)</v>
      </c>
      <c r="C31" s="184">
        <f>Data!K35</f>
        <v>10</v>
      </c>
      <c r="D31" s="184">
        <f>IF(A31="","",Data!O35)</f>
        <v>3.3879999999999999</v>
      </c>
      <c r="E31" s="184">
        <f>IF(A31="","",Data!Q35)</f>
        <v>74.453500000000005</v>
      </c>
      <c r="F31" s="461">
        <f>IF(A31="","",Data!S35)</f>
        <v>3846.8608794559987</v>
      </c>
      <c r="G31" s="463">
        <f>IF(A31="","",Data!U35)</f>
        <v>1.7450000000000001</v>
      </c>
      <c r="H31" s="462">
        <f>IF(A31="","",Data!V35)</f>
        <v>101.001</v>
      </c>
      <c r="I31" s="184">
        <f>IF(A31="","",Data!X35)</f>
        <v>367.12599999999998</v>
      </c>
      <c r="J31" s="184">
        <f>IF(A31="","",Data!AA35)</f>
        <v>279</v>
      </c>
      <c r="K31" s="184">
        <f>IF(A31="","",Data!Y35)</f>
        <v>200</v>
      </c>
      <c r="L31" s="184" t="str">
        <f>IF(A31="","",Data!BC35)</f>
        <v>Y</v>
      </c>
      <c r="M31" s="494">
        <f>IF(A31="","",Data!BK35)</f>
        <v>0</v>
      </c>
      <c r="N31" s="111">
        <v>8672</v>
      </c>
      <c r="O31" s="111">
        <v>9.9509000000000004E-3</v>
      </c>
      <c r="P31" s="106"/>
    </row>
    <row r="32" spans="1:16">
      <c r="A32" s="581" t="str">
        <f>Data!A36</f>
        <v>HVIL001-UHMWPE-RT-AL-S10.0-0031</v>
      </c>
      <c r="B32" s="106" t="str">
        <f>Data!I36</f>
        <v>Aluminum (AL)</v>
      </c>
      <c r="C32" s="184">
        <f>Data!K36</f>
        <v>10</v>
      </c>
      <c r="D32" s="184">
        <f>IF(A32="","",Data!O36)</f>
        <v>3.3719999999999999</v>
      </c>
      <c r="E32" s="184" t="str">
        <f>IF(A32="","",Data!Q36)</f>
        <v>N/R</v>
      </c>
      <c r="F32" s="461">
        <f>IF(A32="","",Data!S36)</f>
        <v>4091.0324541331852</v>
      </c>
      <c r="G32" s="463">
        <f>IF(A32="","",Data!U36)</f>
        <v>1.7509999999999999</v>
      </c>
      <c r="H32" s="462">
        <f>IF(A32="","",Data!V36)</f>
        <v>100.051</v>
      </c>
      <c r="I32" s="184">
        <f>IF(A32="","",Data!X36)</f>
        <v>363.75200000000001</v>
      </c>
      <c r="J32" s="184">
        <f>IF(A32="","",Data!AA36)</f>
        <v>279</v>
      </c>
      <c r="K32" s="184">
        <f>IF(A32="","",Data!Y36)</f>
        <v>200</v>
      </c>
      <c r="L32" s="184" t="str">
        <f>IF(A32="","",Data!BC36)</f>
        <v>Y</v>
      </c>
      <c r="M32" s="494">
        <f>IF(A32="","",Data!BK36)</f>
        <v>0</v>
      </c>
      <c r="N32" s="111">
        <v>11924</v>
      </c>
      <c r="O32" s="111">
        <v>8.3532999999999993E-3</v>
      </c>
      <c r="P32" s="106"/>
    </row>
    <row r="33" spans="1:16">
      <c r="A33" s="581" t="str">
        <f>Data!A37</f>
        <v>HVIL001-UHMWPE-RT-AL-S10.0-0032</v>
      </c>
      <c r="B33" s="106" t="str">
        <f>Data!I37</f>
        <v>Aluminum (AL)</v>
      </c>
      <c r="C33" s="184">
        <f>Data!K37</f>
        <v>10</v>
      </c>
      <c r="D33" s="184">
        <f>IF(A33="","",Data!O37)</f>
        <v>3.3889999999999998</v>
      </c>
      <c r="E33" s="184">
        <f>IF(A33="","",Data!Q37)</f>
        <v>53.558100000000003</v>
      </c>
      <c r="F33" s="461">
        <f>IF(A33="","",Data!S37)</f>
        <v>5615.1510251019718</v>
      </c>
      <c r="G33" s="463">
        <f>IF(A33="","",Data!U37)</f>
        <v>1.7509999999999999</v>
      </c>
      <c r="H33" s="462">
        <f>IF(A33="","",Data!V37)</f>
        <v>130.02099999999999</v>
      </c>
      <c r="I33" s="184">
        <f>IF(A33="","",Data!X37)</f>
        <v>363.58600000000001</v>
      </c>
      <c r="J33" s="184">
        <f>IF(A33="","",Data!AA37)</f>
        <v>140</v>
      </c>
      <c r="K33" s="184">
        <f>IF(A33="","",Data!Y37)</f>
        <v>200</v>
      </c>
      <c r="L33" s="184" t="str">
        <f>IF(A33="","",Data!BC37)</f>
        <v>Y</v>
      </c>
      <c r="M33" s="494" t="str">
        <f>IF(A33="","",Data!BK37)</f>
        <v>JR - camera oversaturation, possible sabot failure, possible UHMWPE melt</v>
      </c>
      <c r="N33" s="111">
        <v>21138</v>
      </c>
      <c r="O33" s="111">
        <v>6.3577E-3</v>
      </c>
      <c r="P33" s="106"/>
    </row>
    <row r="34" spans="1:16">
      <c r="A34" s="581" t="str">
        <f>Data!A38</f>
        <v>HVIL001-UHMWPE-RT-AL-S10.0-0033</v>
      </c>
      <c r="B34" s="106" t="str">
        <f>Data!I38</f>
        <v>Aluminum (AL)</v>
      </c>
      <c r="C34" s="184">
        <f>Data!K38</f>
        <v>10</v>
      </c>
      <c r="D34" s="184">
        <f>IF(A34="","",Data!O38)</f>
        <v>3.3820000000000001</v>
      </c>
      <c r="E34" s="184">
        <f>IF(A34="","",Data!Q38)</f>
        <v>59.560699999999997</v>
      </c>
      <c r="F34" s="461">
        <f>IF(A34="","",Data!S38)</f>
        <v>5359.3337719292995</v>
      </c>
      <c r="G34" s="463">
        <f>IF(A34="","",Data!U38)</f>
        <v>1.754</v>
      </c>
      <c r="H34" s="462">
        <f>IF(A34="","",Data!V38)</f>
        <v>120.069</v>
      </c>
      <c r="I34" s="184">
        <f>IF(A34="","",Data!X38)</f>
        <v>363.65699999999998</v>
      </c>
      <c r="J34" s="184">
        <f>IF(A34="","",Data!AA38)</f>
        <v>141</v>
      </c>
      <c r="K34" s="184">
        <f>IF(A34="","",Data!Y38)</f>
        <v>200</v>
      </c>
      <c r="L34" s="184" t="str">
        <f>IF(A34="","",Data!BC38)</f>
        <v>Y</v>
      </c>
      <c r="M34" s="494" t="str">
        <f>IF(A34="","",Data!BK38)</f>
        <v>JR - great shot, clean video, minimal saturation</v>
      </c>
      <c r="N34" s="111">
        <v>15176</v>
      </c>
      <c r="O34" s="111">
        <v>7.1472999999999997E-3</v>
      </c>
      <c r="P34" s="106"/>
    </row>
    <row r="35" spans="1:16">
      <c r="A35" s="581" t="str">
        <f>Data!A39</f>
        <v>HVIL001-HDPE-RT-AL-S10.0-0034</v>
      </c>
      <c r="B35" s="106" t="str">
        <f>Data!I39</f>
        <v>Aluminum (AL)</v>
      </c>
      <c r="C35" s="184">
        <f>Data!K39</f>
        <v>10</v>
      </c>
      <c r="D35" s="184">
        <f>IF(A35="","",Data!O39)</f>
        <v>3.3890000000000002</v>
      </c>
      <c r="E35" s="184">
        <f>IF(A35="","",Data!Q39)</f>
        <v>72.217299999999994</v>
      </c>
      <c r="F35" s="461">
        <f>IF(A35="","",Data!S39)</f>
        <v>4956.4216538924811</v>
      </c>
      <c r="G35" s="463">
        <f>IF(A35="","",Data!U39)</f>
        <v>1.7490000000000001</v>
      </c>
      <c r="H35" s="462">
        <f>IF(A35="","",Data!V39)</f>
        <v>110.108</v>
      </c>
      <c r="I35" s="184">
        <f>IF(A35="","",Data!X39)</f>
        <v>365.387</v>
      </c>
      <c r="J35" s="184">
        <f>IF(A35="","",Data!AA39)</f>
        <v>161</v>
      </c>
      <c r="K35" s="184">
        <f>IF(A35="","",Data!Y39)</f>
        <v>200</v>
      </c>
      <c r="L35" s="184" t="str">
        <f>IF(A35="","",Data!BC39)</f>
        <v>Y</v>
      </c>
      <c r="M35" s="494">
        <f>IF(A35="","",Data!BK39)</f>
        <v>0</v>
      </c>
      <c r="N35" s="111">
        <v>10298</v>
      </c>
      <c r="O35" s="111">
        <v>8.2260000000000007E-3</v>
      </c>
      <c r="P35" s="106"/>
    </row>
    <row r="36" spans="1:16">
      <c r="A36" s="581" t="str">
        <f>Data!A40</f>
        <v>HVIL001-UHMWPE-RT-ST-S04.0-0035</v>
      </c>
      <c r="B36" s="106" t="str">
        <f>IF(A36="","",Data!I40)</f>
        <v>Steel (ST)</v>
      </c>
      <c r="C36" s="184">
        <f>IF(A36="","",Data!K40)</f>
        <v>4</v>
      </c>
      <c r="D36" s="184">
        <f>IF(A36="","",Data!O40)</f>
        <v>2.3150000000000004</v>
      </c>
      <c r="E36" s="184">
        <f>IF(A36="","",Data!Q40)</f>
        <v>105.655</v>
      </c>
      <c r="F36" s="461">
        <f>IF(A36="","",Data!S40)</f>
        <v>4486.3310912943552</v>
      </c>
      <c r="G36" s="463">
        <f>IF(A36="","",Data!U40)</f>
        <v>1.7430000000000001</v>
      </c>
      <c r="H36" s="462">
        <f>IF(A36="","",Data!V40)</f>
        <v>100.051</v>
      </c>
      <c r="I36" s="184">
        <f>IF(A36="","",Data!X40)</f>
        <v>363.93799999999999</v>
      </c>
      <c r="J36" s="184">
        <f>IF(A36="","",Data!AA40)</f>
        <v>280</v>
      </c>
      <c r="K36" s="184">
        <f>IF(A36="","",Data!Y40)</f>
        <v>200</v>
      </c>
      <c r="L36" s="184" t="str">
        <f>IF(A36="","",Data!BC40)</f>
        <v>Y</v>
      </c>
      <c r="M36" s="494">
        <f>IF(A36="","",Data!BK40)</f>
        <v>0</v>
      </c>
      <c r="N36" s="111"/>
      <c r="O36" s="111"/>
      <c r="P36" s="106"/>
    </row>
    <row r="37" spans="1:16">
      <c r="A37" s="581" t="str">
        <f>Data!A41</f>
        <v>HVIL001-UHMWPE-RT-AL-S10.0-0036</v>
      </c>
      <c r="B37" s="106" t="str">
        <f>IF(A37="","",Data!I41)</f>
        <v>Aluminum (AL)</v>
      </c>
      <c r="C37" s="184">
        <f>IF(A37="","",Data!K41)</f>
        <v>10</v>
      </c>
      <c r="D37" s="184">
        <f>IF(A37="","",Data!O41)</f>
        <v>3.379</v>
      </c>
      <c r="E37" s="184">
        <f>IF(A37="","",Data!Q41)</f>
        <v>89.278899999999993</v>
      </c>
      <c r="F37" s="461">
        <f>IF(A37="","",Data!S41)</f>
        <v>5253.377212341612</v>
      </c>
      <c r="G37" s="463">
        <f>IF(A37="","",Data!U41)</f>
        <v>1.7529999999999999</v>
      </c>
      <c r="H37" s="462">
        <f>IF(A37="","",Data!V41)</f>
        <v>110.726</v>
      </c>
      <c r="I37" s="184">
        <f>IF(A37="","",Data!X41)</f>
        <v>437.74799999999999</v>
      </c>
      <c r="J37" s="184">
        <f>IF(A37="","",Data!AA41)</f>
        <v>160</v>
      </c>
      <c r="K37" s="184">
        <f>IF(A37="","",Data!Y41)</f>
        <v>200</v>
      </c>
      <c r="L37" s="184" t="str">
        <f>IF(A37="","",Data!BC41)</f>
        <v>Y</v>
      </c>
      <c r="M37" s="494">
        <f>IF(A37="","",Data!BK41)</f>
        <v>0</v>
      </c>
      <c r="N37" s="111">
        <v>14092</v>
      </c>
      <c r="O37" s="111">
        <v>7.7390000000000002E-3</v>
      </c>
      <c r="P37" s="106"/>
    </row>
    <row r="38" spans="1:16">
      <c r="A38" s="581" t="str">
        <f>Data!A42</f>
        <v>HVIL001-UHMWPE-RT-AL-S10.0-0037</v>
      </c>
      <c r="B38" s="106" t="str">
        <f>IF(A38="","",Data!I42)</f>
        <v>Aluminum (AL)</v>
      </c>
      <c r="C38" s="184">
        <f>IF(A38="","",Data!K42)</f>
        <v>10</v>
      </c>
      <c r="D38" s="184">
        <f>IF(A38="","",Data!O42)</f>
        <v>3.3850000000000002</v>
      </c>
      <c r="E38" s="184">
        <f>IF(A38="","",Data!Q42)</f>
        <v>90.658600000000007</v>
      </c>
      <c r="F38" s="461">
        <f>IF(A38="","",Data!S42)</f>
        <v>6035.1664319858664</v>
      </c>
      <c r="G38" s="463">
        <f>IF(A38="","",Data!U42)</f>
        <v>1.7509999999999999</v>
      </c>
      <c r="H38" s="462">
        <f>IF(A38="","",Data!V42)</f>
        <v>150.054</v>
      </c>
      <c r="I38" s="184">
        <f>IF(A38="","",Data!X42)</f>
        <v>363.77</v>
      </c>
      <c r="J38" s="184">
        <f>IF(A38="","",Data!AA42)</f>
        <v>200</v>
      </c>
      <c r="K38" s="184">
        <f>IF(A38="","",Data!Y42)</f>
        <v>200</v>
      </c>
      <c r="L38" s="184" t="str">
        <f>IF(A38="","",Data!BC42)</f>
        <v>N</v>
      </c>
      <c r="M38" s="494" t="str">
        <f>IF(A38="","",Data!BK42)</f>
        <v xml:space="preserve">JR - sabot strike, but successful acceleration; need to increase backfill pressure </v>
      </c>
      <c r="N38" s="111">
        <v>25474</v>
      </c>
      <c r="O38" s="111">
        <v>4.3873999999999996E-3</v>
      </c>
      <c r="P38" s="106"/>
    </row>
    <row r="39" spans="1:16">
      <c r="A39" s="581" t="str">
        <f>Data!A43</f>
        <v>HVIL001-UHMWPE-RT-AL-S10.0-0038</v>
      </c>
      <c r="B39" s="106" t="str">
        <f>IF(A39="","",Data!I43)</f>
        <v>Aluminum (AL)</v>
      </c>
      <c r="C39" s="184">
        <f>IF(A39="","",Data!K43)</f>
        <v>10</v>
      </c>
      <c r="D39" s="184">
        <f>IF(A39="","",Data!O43)</f>
        <v>3.379</v>
      </c>
      <c r="E39" s="184">
        <f>IF(A39="","",Data!Q43)</f>
        <v>91.308899999999994</v>
      </c>
      <c r="F39" s="461">
        <f>IF(A39="","",Data!S43)</f>
        <v>5612.21250365776</v>
      </c>
      <c r="G39" s="463">
        <f>IF(A39="","",Data!U43)</f>
        <v>1.7529999999999999</v>
      </c>
      <c r="H39" s="462">
        <f>IF(A39="","",Data!V43)</f>
        <v>150.08099999999999</v>
      </c>
      <c r="I39" s="184">
        <f>IF(A39="","",Data!X43)</f>
        <v>366.62099999999998</v>
      </c>
      <c r="J39" s="184">
        <f>IF(A39="","",Data!AA43)</f>
        <v>220</v>
      </c>
      <c r="K39" s="184">
        <f>IF(A39="","",Data!Y43)</f>
        <v>250</v>
      </c>
      <c r="L39" s="184" t="str">
        <f>IF(A39="","",Data!BC43)</f>
        <v>Y</v>
      </c>
      <c r="M39" s="494">
        <f>IF(A39="","",Data!BK43)</f>
        <v>0</v>
      </c>
      <c r="N39" s="111">
        <v>16260</v>
      </c>
      <c r="O39" s="111">
        <v>6.0137000000000003E-3</v>
      </c>
      <c r="P39" s="106"/>
    </row>
    <row r="40" spans="1:16">
      <c r="A40" s="581" t="str">
        <f>Data!A44</f>
        <v>HVIL001-UHMWPE-RT-AL-S10.0-0039</v>
      </c>
      <c r="B40" s="106" t="str">
        <f>IF(A40="","",Data!I44)</f>
        <v>Aluminum (AL)</v>
      </c>
      <c r="C40" s="184">
        <f>IF(A40="","",Data!K44)</f>
        <v>10</v>
      </c>
      <c r="D40" s="184">
        <f>IF(A40="","",Data!O44)</f>
        <v>3.379</v>
      </c>
      <c r="E40" s="184">
        <f>IF(A40="","",Data!Q44)</f>
        <v>89.844800000000006</v>
      </c>
      <c r="F40" s="461">
        <f>IF(A40="","",Data!S44)</f>
        <v>5378.6938426487859</v>
      </c>
      <c r="G40" s="463">
        <f>IF(A40="","",Data!U44)</f>
        <v>1.7529999999999999</v>
      </c>
      <c r="H40" s="462">
        <f>IF(A40="","",Data!V44)</f>
        <v>150.483</v>
      </c>
      <c r="I40" s="184">
        <f>IF(A40="","",Data!X44)</f>
        <v>365.678</v>
      </c>
      <c r="J40" s="184">
        <f>IF(A40="","",Data!AA44)</f>
        <v>200</v>
      </c>
      <c r="K40" s="184">
        <f>IF(A40="","",Data!Y44)</f>
        <v>250</v>
      </c>
      <c r="L40" s="184" t="str">
        <f>IF(A40="","",Data!BC44)</f>
        <v>N</v>
      </c>
      <c r="M40" s="494" t="str">
        <f>IF(A40="","",Data!BK44)</f>
        <v xml:space="preserve">JR - sabot failure </v>
      </c>
      <c r="N40" s="111">
        <v>24390</v>
      </c>
      <c r="O40" s="111">
        <v>4.5269999999999998E-3</v>
      </c>
      <c r="P40" s="106"/>
    </row>
    <row r="41" spans="1:16">
      <c r="A41" s="581" t="str">
        <f>Data!A45</f>
        <v>HVIL001-HDPE-RT-ST-S10.0-0040</v>
      </c>
      <c r="B41" s="106" t="str">
        <f>IF(A41="","",Data!I45)</f>
        <v>Steel (ST)</v>
      </c>
      <c r="C41" s="184">
        <f>IF(A41="","",Data!K45)</f>
        <v>10</v>
      </c>
      <c r="D41" s="184">
        <f>IF(A41="","",Data!O45)</f>
        <v>6.0590000000000002</v>
      </c>
      <c r="E41" s="184">
        <f>IF(A41="","",Data!Q45)</f>
        <v>143.893</v>
      </c>
      <c r="F41" s="461">
        <f>IF(A41="","",Data!S45)</f>
        <v>4215.201491900315</v>
      </c>
      <c r="G41" s="463">
        <f>IF(A41="","",Data!U45)</f>
        <v>1.7509999999999999</v>
      </c>
      <c r="H41" s="462">
        <f>IF(A41="","",Data!V45)</f>
        <v>100.372</v>
      </c>
      <c r="I41" s="184">
        <f>IF(A41="","",Data!X45)</f>
        <v>761.72</v>
      </c>
      <c r="J41" s="184">
        <f>IF(A41="","",Data!AA45)</f>
        <v>200</v>
      </c>
      <c r="K41" s="184">
        <f>IF(A41="","",Data!Y45)</f>
        <v>250</v>
      </c>
      <c r="L41" s="184" t="str">
        <f>IF(A41="","",Data!BC45)</f>
        <v>Y</v>
      </c>
      <c r="M41" s="494">
        <f>IF(A41="","",Data!BK45)</f>
        <v>0</v>
      </c>
      <c r="N41" s="111" t="s">
        <v>68</v>
      </c>
      <c r="O41" s="111" t="s">
        <v>68</v>
      </c>
      <c r="P41" s="106"/>
    </row>
    <row r="42" spans="1:16">
      <c r="A42" s="581" t="str">
        <f>Data!A46</f>
        <v>HVIL001-HDPE-RT-AL-S10.0-0041</v>
      </c>
      <c r="B42" s="106" t="str">
        <f>IF(A42="","",Data!I46)</f>
        <v>Aluminum (AL)</v>
      </c>
      <c r="C42" s="184">
        <f>IF(A42="","",Data!K46)</f>
        <v>10</v>
      </c>
      <c r="D42" s="184">
        <f>IF(A42="","",Data!O46)</f>
        <v>3.387</v>
      </c>
      <c r="E42" s="184">
        <f>IF(A42="","",Data!Q46)</f>
        <v>109.73</v>
      </c>
      <c r="F42" s="461">
        <f>IF(A42="","",Data!S46)</f>
        <v>3487.726660816199</v>
      </c>
      <c r="G42" s="463">
        <f>IF(A42="","",Data!U46)</f>
        <v>1.7529999999999999</v>
      </c>
      <c r="H42" s="462">
        <f>IF(A42="","",Data!V46)</f>
        <v>100.002</v>
      </c>
      <c r="I42" s="184">
        <f>IF(A42="","",Data!X46)</f>
        <v>366.22899999999998</v>
      </c>
      <c r="J42" s="184">
        <f>IF(A42="","",Data!AA46)</f>
        <v>279</v>
      </c>
      <c r="K42" s="184">
        <f>IF(A42="","",Data!Y46)</f>
        <v>200</v>
      </c>
      <c r="L42" s="184" t="str">
        <f>IF(A42="","",Data!BC46)</f>
        <v>Y</v>
      </c>
      <c r="M42" s="494" t="str">
        <f>IF(A42="","",Data!BK46)</f>
        <v xml:space="preserve">JR - good shot, no trigger for powder data </v>
      </c>
      <c r="N42" s="111" t="s">
        <v>68</v>
      </c>
      <c r="O42" s="111" t="s">
        <v>68</v>
      </c>
      <c r="P42" s="106"/>
    </row>
    <row r="43" spans="1:16">
      <c r="A43" s="581" t="str">
        <f>Data!A47</f>
        <v>HVIL002-HPC-RT-S2-S10.0-0042</v>
      </c>
      <c r="B43" s="106" t="str">
        <f>IF(A43="","",Data!I47)</f>
        <v>Tool Steel (S2)</v>
      </c>
      <c r="C43" s="184">
        <f>IF(A43="","",Data!K47)</f>
        <v>10</v>
      </c>
      <c r="D43" s="184">
        <f>IF(A43="","",Data!O47)</f>
        <v>6.0289999999999999</v>
      </c>
      <c r="E43" s="184">
        <f>IF(A43="","",Data!Q47)</f>
        <v>87.867800000000003</v>
      </c>
      <c r="F43" s="461">
        <f>IF(A43="","",Data!S47)</f>
        <v>4323.6919278992091</v>
      </c>
      <c r="G43" s="463">
        <f>IF(A43="","",Data!U47)</f>
        <v>1.7549999999999999</v>
      </c>
      <c r="H43" s="462">
        <f>IF(A43="","",Data!V47)</f>
        <v>100.03100000000001</v>
      </c>
      <c r="I43" s="184">
        <f>IF(A43="","",Data!X47)</f>
        <v>767.16</v>
      </c>
      <c r="J43" s="184">
        <f>IF(A43="","",Data!AA47)</f>
        <v>200</v>
      </c>
      <c r="K43" s="184">
        <f>IF(A43="","",Data!Y47)</f>
        <v>200</v>
      </c>
      <c r="L43" s="184" t="str">
        <f>IF(A43="","",Data!BC47)</f>
        <v>Y</v>
      </c>
      <c r="M43" s="494" t="str">
        <f>IF(A43="","",Data!BK47)</f>
        <v xml:space="preserve">JR - good shot; HPC target completely destroyed </v>
      </c>
      <c r="N43" s="111" t="s">
        <v>68</v>
      </c>
      <c r="O43" s="111" t="s">
        <v>68</v>
      </c>
      <c r="P43" s="106"/>
    </row>
    <row r="44" spans="1:16">
      <c r="A44" s="581" t="str">
        <f>Data!A48</f>
        <v>HVIL002-HPC-RT-S2-S10.0-0043</v>
      </c>
      <c r="B44" s="106" t="str">
        <f>IF(A44="","",Data!I48)</f>
        <v>Tool Steel (S2)</v>
      </c>
      <c r="C44" s="184">
        <f>IF(A44="","",Data!K48)</f>
        <v>10</v>
      </c>
      <c r="D44" s="184">
        <f>IF(A44="","",Data!O48)</f>
        <v>6.0549999999999997</v>
      </c>
      <c r="E44" s="184">
        <f>IF(A44="","",Data!Q48)</f>
        <v>84.042199999999994</v>
      </c>
      <c r="F44" s="461">
        <f>IF(A44="","",Data!S48)</f>
        <v>4412.5516325536473</v>
      </c>
      <c r="G44" s="463">
        <f>IF(A44="","",Data!U48)</f>
        <v>1.7509999999999999</v>
      </c>
      <c r="H44" s="462">
        <f>IF(A44="","",Data!V48)</f>
        <v>100.82299999999999</v>
      </c>
      <c r="I44" s="184">
        <f>IF(A44="","",Data!X48)</f>
        <v>763.72</v>
      </c>
      <c r="J44" s="184">
        <f>IF(A44="","",Data!AA48)</f>
        <v>200</v>
      </c>
      <c r="K44" s="184">
        <f>IF(A44="","",Data!Y48)</f>
        <v>200</v>
      </c>
      <c r="L44" s="184" t="str">
        <f>IF(A44="","",Data!BC48)</f>
        <v>Y</v>
      </c>
      <c r="M44" s="494" t="str">
        <f>IF(A44="","",Data!BK48)</f>
        <v xml:space="preserve">JR - target completely destroyed </v>
      </c>
      <c r="N44" s="111" t="s">
        <v>68</v>
      </c>
      <c r="O44" s="111" t="s">
        <v>68</v>
      </c>
      <c r="P44" s="106"/>
    </row>
    <row r="45" spans="1:16">
      <c r="A45" s="581" t="str">
        <f>Data!A49</f>
        <v>HVIL003-PMMA-RT-AL-S04.0-0044</v>
      </c>
      <c r="B45" s="106" t="str">
        <f>IF(A45="","",Data!I49)</f>
        <v>Aluminum (AL)</v>
      </c>
      <c r="C45" s="184">
        <f>IF(A45="","",Data!K49)</f>
        <v>4</v>
      </c>
      <c r="D45" s="184">
        <f>IF(A45="","",Data!O49)</f>
        <v>2.1629999999999998</v>
      </c>
      <c r="E45" s="184">
        <f>IF(A45="","",Data!Q49)</f>
        <v>83.114099999999993</v>
      </c>
      <c r="F45" s="461">
        <f>IF(A45="","",Data!S49)</f>
        <v>5946.4349893309063</v>
      </c>
      <c r="G45" s="463">
        <f>IF(A45="","",Data!U49)</f>
        <v>1.7569999999999999</v>
      </c>
      <c r="H45" s="462">
        <f>IF(A45="","",Data!V49)</f>
        <v>119.961</v>
      </c>
      <c r="I45" s="184">
        <f>IF(A45="","",Data!X49)</f>
        <v>363.14</v>
      </c>
      <c r="J45" s="184">
        <f>IF(A45="","",Data!AA49)</f>
        <v>174</v>
      </c>
      <c r="K45" s="184">
        <f>IF(A45="","",Data!Y49)</f>
        <v>200</v>
      </c>
      <c r="L45" s="184" t="str">
        <f>IF(A45="","",Data!BC49)</f>
        <v>Y</v>
      </c>
      <c r="M45" s="494">
        <f>IF(A45="","",Data!BK49)</f>
        <v>0</v>
      </c>
      <c r="N45" s="111" t="s">
        <v>68</v>
      </c>
      <c r="O45" s="111" t="s">
        <v>68</v>
      </c>
      <c r="P45" s="106"/>
    </row>
    <row r="46" spans="1:16">
      <c r="A46" s="581" t="str">
        <f>Data!A50</f>
        <v>HVIL003-PMMA-RT-AL-S04.0-0045</v>
      </c>
      <c r="B46" s="106" t="str">
        <f>IF(A46="","",Data!I50)</f>
        <v>Aluminum (AL)</v>
      </c>
      <c r="C46" s="184">
        <f>IF(A46="","",Data!K50)</f>
        <v>4</v>
      </c>
      <c r="D46" s="184">
        <f>IF(A46="","",Data!O50)</f>
        <v>2.161</v>
      </c>
      <c r="E46" s="184">
        <f>IF(A46="","",Data!Q50)</f>
        <v>87.963099999999997</v>
      </c>
      <c r="F46" s="461">
        <f>IF(A46="","",Data!S50)</f>
        <v>2276.7379881656375</v>
      </c>
      <c r="G46" s="463">
        <f>IF(A46="","",Data!U50)</f>
        <v>1.7470000000000001</v>
      </c>
      <c r="H46" s="462">
        <f>IF(A46="","",Data!V50)</f>
        <v>60.173000000000002</v>
      </c>
      <c r="I46" s="184">
        <f>IF(A46="","",Data!X50)</f>
        <v>363.52800000000002</v>
      </c>
      <c r="J46" s="184">
        <f>IF(A46="","",Data!AA50)</f>
        <v>249</v>
      </c>
      <c r="K46" s="184">
        <f>IF(A46="","",Data!Y50)</f>
        <v>200</v>
      </c>
      <c r="L46" s="184" t="str">
        <f>IF(A46="","",Data!BC50)</f>
        <v>Y</v>
      </c>
      <c r="M46" s="494">
        <f>IF(A46="","",Data!BK50)</f>
        <v>0</v>
      </c>
      <c r="N46" s="111">
        <v>4336</v>
      </c>
      <c r="O46" s="111">
        <v>4.3912E-2</v>
      </c>
      <c r="P46" s="106"/>
    </row>
    <row r="47" spans="1:16">
      <c r="A47" s="581" t="str">
        <f>Data!A51</f>
        <v>HVIL001-HDPE-RT-AL-S10.0-0046</v>
      </c>
      <c r="B47" s="106" t="str">
        <f>IF(A47="","",Data!I51)</f>
        <v>Aluminum (AL)</v>
      </c>
      <c r="C47" s="184">
        <f>IF(A47="","",Data!K51)</f>
        <v>10</v>
      </c>
      <c r="D47" s="184">
        <f>IF(A47="","",Data!O51)</f>
        <v>3.391</v>
      </c>
      <c r="E47" s="184">
        <f>IF(A47="","",Data!Q51)</f>
        <v>77.848100000000002</v>
      </c>
      <c r="F47" s="461">
        <f>IF(A47="","",Data!S51)</f>
        <v>4483.2956215940685</v>
      </c>
      <c r="G47" s="463">
        <f>IF(A47="","",Data!U51)</f>
        <v>1.75</v>
      </c>
      <c r="H47" s="462">
        <f>IF(A47="","",Data!V51)</f>
        <v>100.04300000000001</v>
      </c>
      <c r="I47" s="184">
        <f>IF(A47="","",Data!X51)</f>
        <v>363.45</v>
      </c>
      <c r="J47" s="184">
        <f>IF(A47="","",Data!AA51)</f>
        <v>139</v>
      </c>
      <c r="K47" s="184">
        <f>IF(A47="","",Data!Y51)</f>
        <v>200</v>
      </c>
      <c r="L47" s="184" t="str">
        <f>IF(A47="","",Data!BC51)</f>
        <v>Y</v>
      </c>
      <c r="M47" s="494">
        <f>IF(A47="","",Data!BK51)</f>
        <v>0</v>
      </c>
      <c r="N47" s="111" t="s">
        <v>68</v>
      </c>
      <c r="O47" s="111" t="s">
        <v>68</v>
      </c>
      <c r="P47" s="106"/>
    </row>
    <row r="48" spans="1:16">
      <c r="A48" s="581" t="str">
        <f>Data!A52</f>
        <v>HVIL001-HDPE-RT-AL-S10.0-0047</v>
      </c>
      <c r="B48" s="106" t="str">
        <f>IF(A48="","",Data!I52)</f>
        <v>Aluminum (AL)</v>
      </c>
      <c r="C48" s="184">
        <f>IF(A48="","",Data!K52)</f>
        <v>10</v>
      </c>
      <c r="D48" s="184">
        <f>IF(A48="","",Data!O52)</f>
        <v>3.3899999999999997</v>
      </c>
      <c r="E48" s="184" t="str">
        <f>IF(A48="","",Data!Q52)</f>
        <v>N/R</v>
      </c>
      <c r="F48" s="461" t="str">
        <f>IF(A48="","",Data!S52)</f>
        <v>N/R</v>
      </c>
      <c r="G48" s="463">
        <f>IF(A48="","",Data!U52)</f>
        <v>1.75</v>
      </c>
      <c r="H48" s="462">
        <f>IF(A48="","",Data!V52)</f>
        <v>150.01599999999999</v>
      </c>
      <c r="I48" s="184">
        <f>IF(A48="","",Data!X52)</f>
        <v>363.4</v>
      </c>
      <c r="J48" s="184">
        <f>IF(A48="","",Data!AA52)</f>
        <v>220</v>
      </c>
      <c r="K48" s="184">
        <f>IF(A48="","",Data!Y52)</f>
        <v>250</v>
      </c>
      <c r="L48" s="184" t="str">
        <f>IF(A48="","",Data!BC52)</f>
        <v>N</v>
      </c>
      <c r="M48" s="494" t="str">
        <f>IF(A48="","",Data!BK52)</f>
        <v>RK - probable sabot failure, laser system and camera not triggerd, no video, dented target fixture</v>
      </c>
      <c r="N48" s="111" t="s">
        <v>68</v>
      </c>
      <c r="O48" s="111" t="s">
        <v>68</v>
      </c>
      <c r="P48" s="106"/>
    </row>
    <row r="49" spans="1:16">
      <c r="A49" s="581" t="str">
        <f>Data!A53</f>
        <v>HVIL001-HDPE-RT-AL-S10.0-0048</v>
      </c>
      <c r="B49" s="106" t="str">
        <f>IF(A49="","",Data!I53)</f>
        <v>Aluminum (AL)</v>
      </c>
      <c r="C49" s="184">
        <f>IF(A49="","",Data!K53)</f>
        <v>10</v>
      </c>
      <c r="D49" s="184">
        <f>IF(A49="","",Data!O53)</f>
        <v>3.3969999999999998</v>
      </c>
      <c r="E49" s="184">
        <f>IF(A49="","",Data!Q53)</f>
        <v>82.474800000000002</v>
      </c>
      <c r="F49" s="461">
        <f>IF(A49="","",Data!S53)</f>
        <v>4290.4598407595831</v>
      </c>
      <c r="G49" s="463">
        <f>IF(A49="","",Data!U53)</f>
        <v>1.7470000000000001</v>
      </c>
      <c r="H49" s="462">
        <f>IF(A49="","",Data!V53)</f>
        <v>110.044</v>
      </c>
      <c r="I49" s="184">
        <f>IF(A49="","",Data!X53)</f>
        <v>363.17</v>
      </c>
      <c r="J49" s="184">
        <f>IF(A49="","",Data!AA53)</f>
        <v>160</v>
      </c>
      <c r="K49" s="184">
        <f>IF(A49="","",Data!Y53)</f>
        <v>197</v>
      </c>
      <c r="L49" s="184" t="str">
        <f>IF(A49="","",Data!BC53)</f>
        <v>Y</v>
      </c>
      <c r="M49" s="494">
        <f>IF(A49="","",Data!BK53)</f>
        <v>0</v>
      </c>
      <c r="N49" s="111">
        <v>7588</v>
      </c>
      <c r="O49" s="111">
        <v>4.4291999999999998E-2</v>
      </c>
      <c r="P49" s="106"/>
    </row>
    <row r="50" spans="1:16">
      <c r="A50" s="581" t="str">
        <f>Data!A54</f>
        <v>HVIL001-HDPE-RT-AL-S10.0-0049</v>
      </c>
      <c r="B50" s="106" t="str">
        <f>IF(A50="","",Data!I54)</f>
        <v>Aluminum (AL)</v>
      </c>
      <c r="C50" s="184">
        <f>IF(A50="","",Data!K54)</f>
        <v>10</v>
      </c>
      <c r="D50" s="184">
        <f>IF(A50="","",Data!O54)</f>
        <v>3.4</v>
      </c>
      <c r="E50" s="184">
        <f>IF(A50="","",Data!Q54)</f>
        <v>99.679400000000001</v>
      </c>
      <c r="F50" s="461">
        <f>IF(A50="","",Data!S54)</f>
        <v>5470.2635107987107</v>
      </c>
      <c r="G50" s="463">
        <f>IF(A50="","",Data!U54)</f>
        <v>1.7490000000000001</v>
      </c>
      <c r="H50" s="462">
        <f>IF(A50="","",Data!V54)</f>
        <v>120.13800000000001</v>
      </c>
      <c r="I50" s="184">
        <f>IF(A50="","",Data!X54)</f>
        <v>363.60700000000003</v>
      </c>
      <c r="J50" s="184">
        <f>IF(A50="","",Data!AA54)</f>
        <v>140</v>
      </c>
      <c r="K50" s="184">
        <f>IF(A50="","",Data!Y54)</f>
        <v>252</v>
      </c>
      <c r="L50" s="184" t="str">
        <f>IF(A50="","",Data!BC54)</f>
        <v>Y</v>
      </c>
      <c r="M50" s="494" t="str">
        <f>IF(A50="","",Data!BK54)</f>
        <v>JR - minor sabot seperation issue</v>
      </c>
      <c r="N50" s="111">
        <v>15176</v>
      </c>
      <c r="O50" s="111">
        <v>6.9419E-3</v>
      </c>
      <c r="P50" s="106"/>
    </row>
    <row r="51" spans="1:16">
      <c r="A51" s="581" t="str">
        <f>Data!A55</f>
        <v>HVIL001-HDPE-RT-AL-S10.0-0050</v>
      </c>
      <c r="B51" s="106" t="str">
        <f>IF(A51="","",Data!I55)</f>
        <v>Aluminum (AL)</v>
      </c>
      <c r="C51" s="184">
        <f>IF(A51="","",Data!K55)</f>
        <v>10</v>
      </c>
      <c r="D51" s="184">
        <f>IF(A51="","",Data!O55)</f>
        <v>3.399</v>
      </c>
      <c r="E51" s="184">
        <f>IF(A51="","",Data!Q55)</f>
        <v>69.649199999999993</v>
      </c>
      <c r="F51" s="461">
        <f>IF(A51="","",Data!S55)</f>
        <v>4789.2020734371454</v>
      </c>
      <c r="G51" s="463">
        <f>IF(A51="","",Data!U55)</f>
        <v>1.7470000000000001</v>
      </c>
      <c r="H51" s="462">
        <f>IF(A51="","",Data!V55)</f>
        <v>120.17700000000001</v>
      </c>
      <c r="I51" s="184">
        <f>IF(A51="","",Data!X55)</f>
        <v>363.61200000000002</v>
      </c>
      <c r="J51" s="184">
        <f>IF(A51="","",Data!AA55)</f>
        <v>200</v>
      </c>
      <c r="K51" s="184">
        <f>IF(A51="","",Data!Y55)</f>
        <v>250</v>
      </c>
      <c r="L51" s="184" t="str">
        <f>IF(A51="","",Data!BC55)</f>
        <v>Y</v>
      </c>
      <c r="M51" s="494" t="str">
        <f>IF(A51="","",Data!BK55)</f>
        <v>JR - minor sabot seperation issue</v>
      </c>
      <c r="N51" s="111">
        <v>11924</v>
      </c>
      <c r="O51" s="111">
        <v>7.6246999999999999E-3</v>
      </c>
      <c r="P51" s="106"/>
    </row>
    <row r="52" spans="1:16">
      <c r="A52" s="581" t="str">
        <f>Data!A56</f>
        <v>HVIL003-PMMA-RT-AL-S04.0-0051</v>
      </c>
      <c r="B52" s="106" t="str">
        <f>IF(A52="","",Data!I56)</f>
        <v>Aluminum (AL)</v>
      </c>
      <c r="C52" s="184">
        <f>IF(A52="","",Data!K56)</f>
        <v>4</v>
      </c>
      <c r="D52" s="184">
        <f>IF(A52="","",Data!O56)</f>
        <v>2.141</v>
      </c>
      <c r="E52" s="184" t="str">
        <f>IF(A52="","",Data!Q56)</f>
        <v>N/R</v>
      </c>
      <c r="F52" s="461">
        <f>IF(A52="","",Data!S56)</f>
        <v>6526.9837037316811</v>
      </c>
      <c r="G52" s="463">
        <f>IF(A52="","",Data!U56)</f>
        <v>1.75</v>
      </c>
      <c r="H52" s="462">
        <f>IF(A52="","",Data!V56)</f>
        <v>149.989</v>
      </c>
      <c r="I52" s="184">
        <f>IF(A52="","",Data!X56)</f>
        <v>363.11</v>
      </c>
      <c r="J52" s="184">
        <f>IF(A52="","",Data!AA56)</f>
        <v>221</v>
      </c>
      <c r="K52" s="184">
        <f>IF(A52="","",Data!Y56)</f>
        <v>200</v>
      </c>
      <c r="L52" s="184" t="str">
        <f>IF(A52="","",Data!BC56)</f>
        <v>N</v>
      </c>
      <c r="M52" s="494" t="str">
        <f>IF(A52="","",Data!BK56)</f>
        <v>RK - sabot strike, one petal of the sabot escaped the sabot stripper</v>
      </c>
      <c r="N52" s="111">
        <v>21680</v>
      </c>
      <c r="O52" s="111">
        <v>4.3163999999999998E-3</v>
      </c>
      <c r="P52" s="106"/>
    </row>
    <row r="53" spans="1:16">
      <c r="A53" s="581" t="str">
        <f>Data!A57</f>
        <v>HVIL003-PMMA-RT-AL-S04.0-0052</v>
      </c>
      <c r="B53" s="106" t="str">
        <f>IF(A53="","",Data!I57)</f>
        <v>Aluminum (AL)</v>
      </c>
      <c r="C53" s="184">
        <f>IF(A53="","",Data!K57)</f>
        <v>4</v>
      </c>
      <c r="D53" s="184">
        <f>IF(A53="","",Data!O57)</f>
        <v>2.1579999999999999</v>
      </c>
      <c r="E53" s="184">
        <f>IF(A53="","",Data!Q57)</f>
        <v>83.785300000000007</v>
      </c>
      <c r="F53" s="461">
        <f>IF(A53="","",Data!S57)</f>
        <v>6107.102702942585</v>
      </c>
      <c r="G53" s="463">
        <f>IF(A53="","",Data!U57)</f>
        <v>1.764</v>
      </c>
      <c r="H53" s="462">
        <f>IF(A53="","",Data!V57)</f>
        <v>149.96700000000001</v>
      </c>
      <c r="I53" s="184">
        <f>IF(A53="","",Data!X57)</f>
        <v>362.84399999999999</v>
      </c>
      <c r="J53" s="184">
        <f>IF(A53="","",Data!AA57)</f>
        <v>220</v>
      </c>
      <c r="K53" s="184">
        <f>IF(A53="","",Data!Y57)</f>
        <v>200</v>
      </c>
      <c r="L53" s="184" t="str">
        <f>IF(A53="","",Data!BC57)</f>
        <v>N</v>
      </c>
      <c r="M53" s="494" t="str">
        <f>IF(A53="","",Data!BK57)</f>
        <v>RK - sabot strike, two petals of the sabot escaped the sabot stripper</v>
      </c>
      <c r="N53" s="111">
        <v>20596</v>
      </c>
      <c r="O53" s="111">
        <v>6.1263000000000003E-3</v>
      </c>
      <c r="P53" s="106"/>
    </row>
    <row r="54" spans="1:16">
      <c r="A54" s="581" t="str">
        <f>Data!A58</f>
        <v>HVIL001-HDPE-RT-AL-S10.0-0053</v>
      </c>
      <c r="B54" s="106" t="str">
        <f>IF(A54="","",Data!I58)</f>
        <v>Aluminum (AL)</v>
      </c>
      <c r="C54" s="184">
        <f>IF(A54="","",Data!K58)</f>
        <v>10</v>
      </c>
      <c r="D54" s="184">
        <f>IF(A54="","",Data!O58)</f>
        <v>3.379</v>
      </c>
      <c r="E54" s="184">
        <f>IF(A54="","",Data!Q58)</f>
        <v>95.193100000000001</v>
      </c>
      <c r="F54" s="461">
        <f>IF(A54="","",Data!S58)</f>
        <v>3843.6452762810304</v>
      </c>
      <c r="G54" s="463">
        <f>IF(A54="","",Data!U58)</f>
        <v>1.746</v>
      </c>
      <c r="H54" s="462">
        <f>IF(A54="","",Data!V58)</f>
        <v>99.986000000000004</v>
      </c>
      <c r="I54" s="184">
        <f>IF(A54="","",Data!X58)</f>
        <v>363.82</v>
      </c>
      <c r="J54" s="184">
        <f>IF(A54="","",Data!AA58)</f>
        <v>271</v>
      </c>
      <c r="K54" s="184">
        <f>IF(A54="","",Data!Y58)</f>
        <v>200</v>
      </c>
      <c r="L54" s="184" t="str">
        <f>IF(A54="","",Data!BC58)</f>
        <v>Y</v>
      </c>
      <c r="M54" s="494">
        <f>IF(A54="","",Data!BK58)</f>
        <v>0</v>
      </c>
      <c r="N54" s="111">
        <v>8672</v>
      </c>
      <c r="O54" s="111">
        <v>4.3027999999999997E-2</v>
      </c>
      <c r="P54" s="106"/>
    </row>
    <row r="55" spans="1:16">
      <c r="A55" s="581" t="str">
        <f>Data!A59</f>
        <v>HVIL001-HDPE-RT-AL-S10.0-0054</v>
      </c>
      <c r="B55" s="106" t="str">
        <f>IF(A55="","",Data!I59)</f>
        <v>Aluminum (AL)</v>
      </c>
      <c r="C55" s="184">
        <f>IF(A55="","",Data!K59)</f>
        <v>10</v>
      </c>
      <c r="D55" s="184">
        <f>IF(A55="","",Data!O59)</f>
        <v>3.3940000000000001</v>
      </c>
      <c r="E55" s="184">
        <f>IF(A55="","",Data!R59)</f>
        <v>120.742863</v>
      </c>
      <c r="F55" s="461">
        <f>IF(A55="","",Data!S59)</f>
        <v>2484.618904555874</v>
      </c>
      <c r="G55" s="463">
        <f>IF(A55="","",Data!U59)</f>
        <v>1.7569999999999999</v>
      </c>
      <c r="H55" s="462">
        <f>IF(A55="","",Data!V59)</f>
        <v>60.027999999999999</v>
      </c>
      <c r="I55" s="184">
        <f>IF(A55="","",Data!X59)</f>
        <v>363.53899999999999</v>
      </c>
      <c r="J55" s="184">
        <f>IF(A55="","",Data!AA59)</f>
        <v>249</v>
      </c>
      <c r="K55" s="184">
        <f>IF(A55="","",Data!Y59)</f>
        <v>200</v>
      </c>
      <c r="L55" s="184" t="str">
        <f>IF(A55="","",Data!BC59)</f>
        <v>Y</v>
      </c>
      <c r="M55" s="494">
        <f>IF(A55="","",Data!BK59)</f>
        <v>0</v>
      </c>
      <c r="N55" s="111">
        <v>4336</v>
      </c>
      <c r="O55" s="111">
        <v>4.3865000000000001E-2</v>
      </c>
      <c r="P55" s="106"/>
    </row>
    <row r="56" spans="1:16">
      <c r="A56" s="581" t="str">
        <f>Data!A60</f>
        <v>HVIL003-PMMA-RT-ST-S10.0-0055</v>
      </c>
      <c r="B56" s="106" t="str">
        <f>IF(A56="","",Data!I60)</f>
        <v>Steel (ST)</v>
      </c>
      <c r="C56" s="184">
        <f>IF(A56="","",Data!K60)</f>
        <v>10</v>
      </c>
      <c r="D56" s="184">
        <f>IF(A56="","",Data!O60)</f>
        <v>6.0359999999999996</v>
      </c>
      <c r="E56" s="184">
        <f>IF(A56="","",Data!Q60)</f>
        <v>70.957099999999997</v>
      </c>
      <c r="F56" s="461">
        <f>IF(A56="","",Data!S60)</f>
        <v>1900.4031280812858</v>
      </c>
      <c r="G56" s="463">
        <f>IF(A56="","",Data!U60)</f>
        <v>1.7450000000000001</v>
      </c>
      <c r="H56" s="462">
        <f>IF(A56="","",Data!V60)</f>
        <v>60.082000000000001</v>
      </c>
      <c r="I56" s="184">
        <f>IF(A56="","",Data!X60)</f>
        <v>363.46899999999999</v>
      </c>
      <c r="J56" s="184">
        <f>IF(A56="","",Data!AA60)</f>
        <v>250</v>
      </c>
      <c r="K56" s="184">
        <f>IF(A56="","",Data!Y60)</f>
        <v>200</v>
      </c>
      <c r="L56" s="184" t="str">
        <f>IF(A56="","",Data!BC60)</f>
        <v>Y</v>
      </c>
      <c r="M56" s="494">
        <f>IF(A56="","",Data!BK60)</f>
        <v>0</v>
      </c>
      <c r="N56" s="111">
        <v>4336</v>
      </c>
      <c r="O56" s="111">
        <v>4.3685000000000002E-2</v>
      </c>
      <c r="P56" s="106"/>
    </row>
    <row r="57" spans="1:16">
      <c r="A57" s="581" t="str">
        <f>Data!A61</f>
        <v>HVIL002-HPC-RT-S2-S10.0-0056</v>
      </c>
      <c r="B57" s="106" t="str">
        <f>IF(A57="","",Data!I61)</f>
        <v>Tool Steel (S2)</v>
      </c>
      <c r="C57" s="184">
        <f>IF(A57="","",Data!K61)</f>
        <v>10</v>
      </c>
      <c r="D57" s="184">
        <f>IF(A57="","",Data!O61)</f>
        <v>6.0390000000000006</v>
      </c>
      <c r="E57" s="184">
        <f>IF(A57="","",Data!Q61)</f>
        <v>62.381799999999998</v>
      </c>
      <c r="F57" s="461">
        <f>IF(A57="","",Data!S61)</f>
        <v>2034.7143565911379</v>
      </c>
      <c r="G57" s="463">
        <f>IF(A57="","",Data!U61)</f>
        <v>1.76</v>
      </c>
      <c r="H57" s="462">
        <f>IF(A57="","",Data!V61)</f>
        <v>60.08</v>
      </c>
      <c r="I57" s="184">
        <f>IF(A57="","",Data!X61)</f>
        <v>363.42500000000001</v>
      </c>
      <c r="J57" s="184">
        <f>IF(A57="","",Data!AA61)</f>
        <v>250</v>
      </c>
      <c r="K57" s="184">
        <f>IF(A57="","",Data!Y61)</f>
        <v>200</v>
      </c>
      <c r="L57" s="184" t="str">
        <f>IF(A57="","",Data!BC61)</f>
        <v>Y</v>
      </c>
      <c r="M57" s="494">
        <f>IF(A57="","",Data!BK61)</f>
        <v>0</v>
      </c>
      <c r="N57" s="111">
        <v>4336</v>
      </c>
      <c r="O57" s="111">
        <v>4.3219E-2</v>
      </c>
      <c r="P57" s="106"/>
    </row>
    <row r="58" spans="1:16">
      <c r="A58" s="581" t="str">
        <f>Data!A62</f>
        <v>HVIL004-PMMA-RT-NY-S04.0-0057</v>
      </c>
      <c r="B58" s="106" t="str">
        <f>IF(A58="","",Data!I62)</f>
        <v>Nylon (NY)</v>
      </c>
      <c r="C58" s="184">
        <f>IF(A58="","",Data!K62)</f>
        <v>4</v>
      </c>
      <c r="D58" s="184">
        <f>IF(A58="","",Data!O62)</f>
        <v>2.0810000000000004</v>
      </c>
      <c r="E58" s="184">
        <f>IF(A58="","",Data!Q62)</f>
        <v>58.978200000000001</v>
      </c>
      <c r="F58" s="461">
        <f>IF(A58="","",Data!S62)</f>
        <v>2523.9047431237059</v>
      </c>
      <c r="G58" s="463">
        <f>IF(A58="","",Data!U62)</f>
        <v>1.7509999999999999</v>
      </c>
      <c r="H58" s="462">
        <f>IF(A58="","",Data!V62)</f>
        <v>59.9998</v>
      </c>
      <c r="I58" s="184">
        <f>IF(A58="","",Data!X62)</f>
        <v>363.47300000000001</v>
      </c>
      <c r="J58" s="184">
        <f>IF(A58="","",Data!AA62)</f>
        <v>250</v>
      </c>
      <c r="K58" s="184">
        <f>IF(A58="","",Data!Y62)</f>
        <v>202</v>
      </c>
      <c r="L58" s="184" t="str">
        <f>IF(A58="","",Data!BC62)</f>
        <v>Y</v>
      </c>
      <c r="M58" s="494">
        <f>IF(A58="","",Data!BK62)</f>
        <v>0</v>
      </c>
      <c r="N58" s="111">
        <v>7588</v>
      </c>
      <c r="O58" s="111">
        <v>3.7865999999999997E-2</v>
      </c>
      <c r="P58" s="106" t="s">
        <v>199</v>
      </c>
    </row>
    <row r="59" spans="1:16">
      <c r="A59" s="581" t="str">
        <f>Data!A63</f>
        <v>HVIL001-HDPE-RT-AL-S10.0-0058</v>
      </c>
      <c r="B59" s="106" t="str">
        <f>IF(A59="","",Data!I63)</f>
        <v>Aluminum (AL)</v>
      </c>
      <c r="C59" s="184">
        <f>IF(A59="","",Data!K63)</f>
        <v>10</v>
      </c>
      <c r="D59" s="184">
        <f>IF(A59="","",Data!O63)</f>
        <v>3.4</v>
      </c>
      <c r="E59" s="184">
        <f>IF(A59="","",Data!Q63)</f>
        <v>73.132099999999994</v>
      </c>
      <c r="F59" s="461">
        <f>IF(A59="","",Data!S63)</f>
        <v>6141.731761175567</v>
      </c>
      <c r="G59" s="463">
        <f>IF(A59="","",Data!U63)</f>
        <v>1.7490000000000001</v>
      </c>
      <c r="H59" s="462">
        <f>IF(A59="","",Data!V63)</f>
        <v>150.00200000000001</v>
      </c>
      <c r="I59" s="184">
        <f>IF(A59="","",Data!X63)</f>
        <v>363.52</v>
      </c>
      <c r="J59" s="184">
        <f>IF(A59="","",Data!AA63)</f>
        <v>221</v>
      </c>
      <c r="K59" s="184">
        <f>IF(A59="","",Data!Y63)</f>
        <v>201</v>
      </c>
      <c r="L59" s="184" t="str">
        <f>IF(A59="","",Data!BC63)</f>
        <v>N</v>
      </c>
      <c r="M59" s="494" t="str">
        <f>IF(A59="","",Data!BK63)</f>
        <v>JR - sabot did not separate, need to increase backfill</v>
      </c>
      <c r="N59" s="111">
        <v>27100</v>
      </c>
      <c r="O59" s="111">
        <v>3.7650000000000001E-3</v>
      </c>
      <c r="P59" s="106"/>
    </row>
    <row r="60" spans="1:16">
      <c r="A60" s="581" t="str">
        <f>Data!A64</f>
        <v>HVIL001-HDPE-RT-AL-S10.0-0059</v>
      </c>
      <c r="B60" s="106" t="str">
        <f>IF(A60="","",Data!I64)</f>
        <v>Aluminum (AL)</v>
      </c>
      <c r="C60" s="184">
        <f>IF(A60="","",Data!K64)</f>
        <v>10</v>
      </c>
      <c r="D60" s="184">
        <f>IF(A60="","",Data!O64)</f>
        <v>3.3860000000000001</v>
      </c>
      <c r="E60" s="184">
        <f>IF(A60="","",Data!Q64)</f>
        <v>98.717500000000001</v>
      </c>
      <c r="F60" s="461">
        <f>IF(A60="","",Data!S64)</f>
        <v>6371.7300440707077</v>
      </c>
      <c r="G60" s="463">
        <f>IF(A60="","",Data!U64)</f>
        <v>1.7490000000000001</v>
      </c>
      <c r="H60" s="462">
        <f>IF(A60="","",Data!V64)</f>
        <v>150.08000000000001</v>
      </c>
      <c r="I60" s="184">
        <f>IF(A60="","",Data!X64)</f>
        <v>363.93099999999998</v>
      </c>
      <c r="J60" s="184">
        <f>IF(A60="","",Data!AA64)</f>
        <v>221</v>
      </c>
      <c r="K60" s="184">
        <f>IF(A60="","",Data!Y64)</f>
        <v>76</v>
      </c>
      <c r="L60" s="184" t="str">
        <f>IF(A60="","",Data!BC64)</f>
        <v>Y</v>
      </c>
      <c r="M60" s="494" t="str">
        <f>IF(A60="","",Data!BK64)</f>
        <v>JR - great shot, clean video, minimal saturation</v>
      </c>
      <c r="N60" s="111">
        <v>20596</v>
      </c>
      <c r="O60" s="111">
        <v>6.1132000000000001E-3</v>
      </c>
      <c r="P60" s="106"/>
    </row>
    <row r="61" spans="1:16">
      <c r="A61" s="581" t="str">
        <f>Data!A65</f>
        <v>HVIL002-HPC-RT-S2-S10.0-0060</v>
      </c>
      <c r="B61" s="106" t="str">
        <f>IF(A61="","",Data!I65)</f>
        <v>Tool Steel (S2)</v>
      </c>
      <c r="C61" s="184">
        <f>IF(A61="","",Data!K65)</f>
        <v>10</v>
      </c>
      <c r="D61" s="184">
        <f>IF(A61="","",Data!O65)</f>
        <v>6.0330000000000004</v>
      </c>
      <c r="E61" s="184">
        <f>IF(A61="","",Data!R65)</f>
        <v>149.76978399999999</v>
      </c>
      <c r="F61" s="461">
        <f>IF(A61="","",Data!S65)</f>
        <v>2003.0742649665569</v>
      </c>
      <c r="G61" s="463">
        <f>IF(A61="","",Data!U65)</f>
        <v>1.748</v>
      </c>
      <c r="H61" s="462">
        <f>IF(A61="","",Data!V65)</f>
        <v>60.378999999999998</v>
      </c>
      <c r="I61" s="184">
        <f>IF(A61="","",Data!X65)</f>
        <v>364.12099999999998</v>
      </c>
      <c r="J61" s="184">
        <f>IF(A61="","",Data!AA65)</f>
        <v>249</v>
      </c>
      <c r="K61" s="184">
        <f>IF(A61="","",Data!Y65)</f>
        <v>199</v>
      </c>
      <c r="L61" s="184" t="str">
        <f>IF(A61="","",Data!BC65)</f>
        <v>Y</v>
      </c>
      <c r="M61" s="494" t="str">
        <f>IF(A61="","",Data!BK65)</f>
        <v>PM- First thin concrete shot, Needs more downrange view</v>
      </c>
      <c r="N61" s="111">
        <v>3252</v>
      </c>
      <c r="O61" s="111">
        <v>7.5948999999999999E-3</v>
      </c>
      <c r="P61" s="106"/>
    </row>
    <row r="62" spans="1:16">
      <c r="A62" s="581" t="str">
        <f>Data!A66</f>
        <v>HVIL001-UHMWPE-RT-AL-S10.0-0061</v>
      </c>
      <c r="B62" s="106" t="str">
        <f>IF(A62="","",Data!I66)</f>
        <v>Aluminum (AL)</v>
      </c>
      <c r="C62" s="184">
        <f>IF(A62="","",Data!K66)</f>
        <v>10</v>
      </c>
      <c r="D62" s="184">
        <f>IF(A62="","",Data!O66)</f>
        <v>3.399</v>
      </c>
      <c r="E62" s="184">
        <f>IF(A62="","",Data!Q66)</f>
        <v>48.040100000000002</v>
      </c>
      <c r="F62" s="461">
        <f>IF(A62="","",Data!S66)</f>
        <v>6342.4446991147406</v>
      </c>
      <c r="G62" s="463">
        <f>IF(A62="","",Data!U66)</f>
        <v>1.7509999999999999</v>
      </c>
      <c r="H62" s="462">
        <f>IF(A62="","",Data!V66)</f>
        <v>150.02799999999999</v>
      </c>
      <c r="I62" s="184">
        <f>IF(A62="","",Data!X66)</f>
        <v>363.22300000000001</v>
      </c>
      <c r="J62" s="184">
        <f>IF(A62="","",Data!AA66)</f>
        <v>220</v>
      </c>
      <c r="K62" s="184">
        <f>IF(A62="","",Data!Y66)</f>
        <v>75</v>
      </c>
      <c r="L62" s="184" t="str">
        <f>IF(A62="","",Data!BC66)</f>
        <v>Y</v>
      </c>
      <c r="M62" s="494" t="str">
        <f>IF(A62="","",Data!BK66)</f>
        <v>JR - great shot, clean video, moderate saturation</v>
      </c>
      <c r="N62" s="111">
        <v>22764</v>
      </c>
      <c r="O62" s="111">
        <v>5.666E-3</v>
      </c>
      <c r="P62" s="106"/>
    </row>
    <row r="63" spans="1:16">
      <c r="A63" s="582" t="str">
        <f>Data!A67</f>
        <v>HVIL002-HPC-RT-S2-S10.0-0062</v>
      </c>
      <c r="B63" s="469" t="str">
        <f>IF(A63="","",Data!I67)</f>
        <v>Tool Steel (S2)</v>
      </c>
      <c r="C63" s="574">
        <f>IF(A63="","",Data!K67)</f>
        <v>10</v>
      </c>
      <c r="D63" s="574">
        <f>IF(A63="","",Data!O67)</f>
        <v>6.0350000000000001</v>
      </c>
      <c r="E63" s="574">
        <f>IF(A63="","",Data!Q67)</f>
        <v>78.673599999999993</v>
      </c>
      <c r="F63" s="575">
        <f>IF(A63="","",Data!S67)</f>
        <v>2082.9241689169016</v>
      </c>
      <c r="G63" s="576">
        <f>IF(A63="","",Data!U67)</f>
        <v>1.7569999999999999</v>
      </c>
      <c r="H63" s="470">
        <f>IF(A63="","",Data!V67)</f>
        <v>60.176000000000002</v>
      </c>
      <c r="I63" s="574">
        <f>IF(A63="","",Data!X67)</f>
        <v>363.96699999999998</v>
      </c>
      <c r="J63" s="574">
        <f>IF(A63="","",Data!AA67)</f>
        <v>249</v>
      </c>
      <c r="K63" s="574">
        <f>IF(A63="","",Data!Y67)</f>
        <v>199</v>
      </c>
      <c r="L63" s="184" t="str">
        <f>IF(A63="","",Data!BC67)</f>
        <v>Y</v>
      </c>
      <c r="M63" s="577" t="str">
        <f>IF(A63="","",Data!BK67)</f>
        <v>JR - great shot, clean video, no saturation</v>
      </c>
      <c r="N63" s="578">
        <v>4336.0433999999996</v>
      </c>
      <c r="O63" s="578">
        <v>1.575E-2</v>
      </c>
      <c r="P63" s="469"/>
    </row>
    <row r="64" spans="1:16">
      <c r="A64" s="581" t="str">
        <f>Data!A68</f>
        <v>HVIL001-UHMWPE-RT-AL-S10.0-0063</v>
      </c>
      <c r="B64" s="106" t="str">
        <f>IF(A64="","",Data!I68)</f>
        <v>Aluminum (AL)</v>
      </c>
      <c r="C64" s="184">
        <f>IF(A64="","",Data!K68)</f>
        <v>10</v>
      </c>
      <c r="D64" s="184">
        <f>IF(A64="","",Data!O68)</f>
        <v>3.399</v>
      </c>
      <c r="E64" s="184">
        <f>IF(A64="","",Data!Q68)</f>
        <v>80.464399999999998</v>
      </c>
      <c r="F64" s="461">
        <f>IF(A64="","",Data!S68)</f>
        <v>2163.1282815106683</v>
      </c>
      <c r="G64" s="463">
        <f>IF(A64="","",Data!U68)</f>
        <v>1.7509999999999999</v>
      </c>
      <c r="H64" s="462">
        <f>IF(A64="","",Data!V68)</f>
        <v>60.045999999999999</v>
      </c>
      <c r="I64" s="184">
        <f>IF(A64="","",Data!X68)</f>
        <v>363.49</v>
      </c>
      <c r="J64" s="574">
        <f>IF(A64="","",Data!AA68)</f>
        <v>249</v>
      </c>
      <c r="K64" s="574">
        <f>IF(A64="","",Data!Y68)</f>
        <v>199</v>
      </c>
      <c r="L64" s="184" t="str">
        <f>IF(A64="","",Data!BC68)</f>
        <v>Y</v>
      </c>
      <c r="M64" s="577">
        <f>IF(A64="","",Data!BK68)</f>
        <v>0</v>
      </c>
      <c r="N64" s="111">
        <v>3252.0324999999998</v>
      </c>
      <c r="O64" s="111">
        <v>1.5889E-2</v>
      </c>
      <c r="P64" s="106"/>
    </row>
    <row r="65" spans="1:18">
      <c r="A65" s="581" t="str">
        <f>Data!A69</f>
        <v>HVIL002-HPC-RT-S2-S10.0-0064</v>
      </c>
      <c r="B65" s="106" t="str">
        <f>IF(A65="","",Data!I69)</f>
        <v>Tool Steel (S2)</v>
      </c>
      <c r="C65" s="184">
        <f>IF(A65="","",Data!K69)</f>
        <v>10</v>
      </c>
      <c r="D65" s="184">
        <f>IF(A65="","",Data!O69)</f>
        <v>6.0550000000000006</v>
      </c>
      <c r="E65" s="184">
        <f>IF(A65="","",Data!Q69)</f>
        <v>72.894400000000005</v>
      </c>
      <c r="F65" s="461">
        <f>IF(A65="","",Data!S69)</f>
        <v>1829.2739812788441</v>
      </c>
      <c r="G65" s="463">
        <f>IF(A65="","",Data!U69)</f>
        <v>1.75</v>
      </c>
      <c r="H65" s="462">
        <f>IF(A65="","",Data!V69)</f>
        <v>60.02</v>
      </c>
      <c r="I65" s="184">
        <f>IF(A65="","",Data!X69)</f>
        <v>363.45</v>
      </c>
      <c r="J65" s="574">
        <f>IF(A65="","",Data!AA69)</f>
        <v>250</v>
      </c>
      <c r="K65" s="574">
        <f>IF(A65="","",Data!Y69)</f>
        <v>199</v>
      </c>
      <c r="L65" s="184" t="str">
        <f>IF(A65="","",Data!BC69)</f>
        <v>Y</v>
      </c>
      <c r="M65" s="577">
        <f>IF(A65="","",Data!BK69)</f>
        <v>0</v>
      </c>
      <c r="N65" s="111">
        <v>3252.0324999999998</v>
      </c>
      <c r="O65" s="111">
        <v>1.6788000000000001E-2</v>
      </c>
      <c r="P65" s="106"/>
    </row>
    <row r="66" spans="1:18">
      <c r="A66" s="581" t="str">
        <f>Data!A70</f>
        <v>HVIL002-HPC-RT-S2-S10.0-0065</v>
      </c>
      <c r="B66" s="106" t="str">
        <f>IF(A66="","",Data!I70)</f>
        <v>Tool Steel (S2)</v>
      </c>
      <c r="C66" s="184">
        <f>IF(A66="","",Data!K70)</f>
        <v>10</v>
      </c>
      <c r="D66" s="184">
        <f>IF(A66="","",Data!O70)</f>
        <v>6.04</v>
      </c>
      <c r="E66" s="184">
        <f>IF(A66="","",Data!Q70)</f>
        <v>80.330399999999997</v>
      </c>
      <c r="F66" s="461">
        <f>IF(A66="","",Data!S70)</f>
        <v>1952.8908310981305</v>
      </c>
      <c r="G66" s="463">
        <f>IF(A66="","",Data!U70)</f>
        <v>1.75</v>
      </c>
      <c r="H66" s="462">
        <f>IF(A66="","",Data!V70)</f>
        <v>60.164000000000001</v>
      </c>
      <c r="I66" s="184">
        <f>IF(A66="","",Data!X70)</f>
        <v>363.91399999999999</v>
      </c>
      <c r="J66" s="574">
        <f>IF(A66="","",Data!AA70)</f>
        <v>250</v>
      </c>
      <c r="K66" s="574">
        <f>IF(A66="","",Data!Y70)</f>
        <v>203</v>
      </c>
      <c r="L66" s="184" t="str">
        <f>IF(A66="","",Data!BC70)</f>
        <v>Y</v>
      </c>
      <c r="M66" s="577">
        <f>IF(A66="","",Data!BK70)</f>
        <v>0</v>
      </c>
      <c r="N66" s="111">
        <v>3252.0324999999998</v>
      </c>
      <c r="O66" s="111">
        <v>1.4463999999999999E-2</v>
      </c>
      <c r="P66" s="106"/>
    </row>
    <row r="67" spans="1:18">
      <c r="A67" s="581" t="str">
        <f>Data!A71</f>
        <v>HVIL002-HPC-RT-S2-S10.0-0066</v>
      </c>
      <c r="B67" s="106" t="str">
        <f>IF(A67="","",Data!I71)</f>
        <v>Tool Steel (S2)</v>
      </c>
      <c r="C67" s="184">
        <f>IF(A67="","",Data!K71)</f>
        <v>10</v>
      </c>
      <c r="D67" s="184">
        <f>IF(A67="","",Data!O71)</f>
        <v>6.0419999999999998</v>
      </c>
      <c r="E67" s="184">
        <f>IF(A67="","",Data!Q71)</f>
        <v>69.383300000000006</v>
      </c>
      <c r="F67" s="461">
        <f>IF(A67="","",Data!S71)</f>
        <v>1904.902528899705</v>
      </c>
      <c r="G67" s="463">
        <f>IF(A67="","",Data!U71)</f>
        <v>1.75</v>
      </c>
      <c r="H67" s="462">
        <f>IF(A67="","",Data!V71)</f>
        <v>60.003</v>
      </c>
      <c r="I67" s="184">
        <f>IF(A67="","",Data!X71)</f>
        <v>363.91500000000002</v>
      </c>
      <c r="J67" s="574">
        <f>IF(A67="","",Data!AA71)</f>
        <v>249</v>
      </c>
      <c r="K67" s="574">
        <f>IF(A67="","",Data!Y71)</f>
        <v>199</v>
      </c>
      <c r="L67" s="184" t="str">
        <f>IF(A67="","",Data!BC71)</f>
        <v>Y</v>
      </c>
      <c r="M67" s="577">
        <f>IF(A67="","",Data!BK71)</f>
        <v>0</v>
      </c>
      <c r="N67" s="111">
        <v>3252.0324999999998</v>
      </c>
      <c r="O67" s="111">
        <v>1.4566000000000001E-2</v>
      </c>
      <c r="P67" s="106"/>
    </row>
    <row r="68" spans="1:18">
      <c r="A68" s="581" t="str">
        <f>Data!A72</f>
        <v>HVIL001-UHMWPE-RT-AL-S10.0-0067</v>
      </c>
      <c r="B68" s="106" t="str">
        <f>IF(A68="","",Data!I72)</f>
        <v>Aluminum (AL)</v>
      </c>
      <c r="C68" s="184">
        <f>IF(A68="","",Data!K72)</f>
        <v>10</v>
      </c>
      <c r="D68" s="184">
        <f>IF(A68="","",Data!O72)</f>
        <v>3.4009999999999998</v>
      </c>
      <c r="E68" s="184">
        <f>IF(A68="","",Data!Q72)</f>
        <v>58.670900000000003</v>
      </c>
      <c r="F68" s="461">
        <f>IF(A68="","",Data!S72)</f>
        <v>6536.8463507728411</v>
      </c>
      <c r="G68" s="463">
        <f>IF(A68="","",Data!U72)</f>
        <v>1.7509999999999999</v>
      </c>
      <c r="H68" s="462">
        <f>IF(A68="","",Data!V72)</f>
        <v>149.96100000000001</v>
      </c>
      <c r="I68" s="87">
        <f>IF(A68="","",Data!X72)</f>
        <v>363.55900000000003</v>
      </c>
      <c r="J68" s="184">
        <f>IF(A68="","",Data!AA72)</f>
        <v>200</v>
      </c>
      <c r="K68" s="184">
        <f>IF(A68="","",Data!Y72)</f>
        <v>76</v>
      </c>
      <c r="L68" s="184" t="str">
        <f>IF(A68="","",Data!BC72)</f>
        <v>Y</v>
      </c>
      <c r="M68" s="573" t="str">
        <f>IF(A68="","",Data!BK72)</f>
        <v xml:space="preserve">JR - beautiful shot </v>
      </c>
      <c r="N68" s="579">
        <v>22764.227599999998</v>
      </c>
      <c r="O68" s="111">
        <v>5.2483E-3</v>
      </c>
      <c r="P68" s="106"/>
    </row>
    <row r="69" spans="1:18">
      <c r="A69" s="581" t="str">
        <f>Data!A73</f>
        <v>HVIL005-ACC-RT-NY-S04.0-0068</v>
      </c>
      <c r="B69" s="106" t="str">
        <f>IF(A69="","",Data!I73)</f>
        <v>Nylon (NY)</v>
      </c>
      <c r="C69" s="184">
        <f>IF(A69="","",Data!K73)</f>
        <v>4</v>
      </c>
      <c r="D69" s="184">
        <f>IF(A69="","",Data!O73)</f>
        <v>2.0990000000000002</v>
      </c>
      <c r="E69" s="184">
        <f>IF(A69="","",Data!Q73)</f>
        <v>65.861900000000006</v>
      </c>
      <c r="F69" s="461">
        <f>IF(A69="","",Data!S73)</f>
        <v>2255.8436332208498</v>
      </c>
      <c r="G69" s="463">
        <f>IF(A69="","",Data!U73)</f>
        <v>1.75</v>
      </c>
      <c r="H69" s="462">
        <f>IF(A69="","",Data!V73)</f>
        <v>60</v>
      </c>
      <c r="I69" s="87">
        <f>IF(A69="","",Data!X73)</f>
        <v>363.7</v>
      </c>
      <c r="J69" s="184">
        <f>IF(A69="","",Data!AA73)</f>
        <v>251</v>
      </c>
      <c r="K69" s="184">
        <f>IF(A69="","",Data!Y73)</f>
        <v>199</v>
      </c>
      <c r="L69" s="184" t="str">
        <f>IF(A69="","",Data!BC73)</f>
        <v>Y</v>
      </c>
      <c r="M69" s="573">
        <f>IF(A69="","",Data!BK73)</f>
        <v>0</v>
      </c>
      <c r="N69" s="579">
        <v>3252.0324999999998</v>
      </c>
      <c r="O69" s="111">
        <v>1.5855000000000001E-2</v>
      </c>
      <c r="P69" s="106"/>
    </row>
    <row r="70" spans="1:18">
      <c r="A70" s="581" t="str">
        <f>Data!A74</f>
        <v>HVIL001-UHMWPE-RT-AL-S10.0-0069</v>
      </c>
      <c r="B70" s="106" t="str">
        <f>IF(A70="","",Data!I74)</f>
        <v>Aluminum (AL)</v>
      </c>
      <c r="C70" s="184">
        <f>IF(A70="","",Data!K74)</f>
        <v>10</v>
      </c>
      <c r="D70" s="184">
        <f>IF(A70="","",Data!O74)</f>
        <v>3.3870999999999998</v>
      </c>
      <c r="E70" s="184">
        <f>IF(A70="","",Data!Q74)</f>
        <v>49.231200000000001</v>
      </c>
      <c r="F70" s="461">
        <f>IF(A70="","",Data!S74)</f>
        <v>6295.467571826196</v>
      </c>
      <c r="G70" s="463">
        <f>IF(A70="","",Data!U74)</f>
        <v>1.75</v>
      </c>
      <c r="H70" s="462">
        <f>IF(A70="","",Data!V74)</f>
        <v>150.00299999999999</v>
      </c>
      <c r="I70" s="87">
        <f>IF(A70="","",Data!X74)</f>
        <v>363.87</v>
      </c>
      <c r="J70" s="184">
        <f>IF(A70="","",Data!AA74)</f>
        <v>250</v>
      </c>
      <c r="K70" s="184">
        <f>IF(A70="","",Data!Y74)</f>
        <v>75</v>
      </c>
      <c r="L70" s="184" t="str">
        <f>IF(A70="","",Data!BC74)</f>
        <v>Y</v>
      </c>
      <c r="M70" s="573">
        <f>IF(A70="","",Data!BK74)</f>
        <v>0</v>
      </c>
      <c r="N70" s="579">
        <v>22764</v>
      </c>
      <c r="O70" s="111">
        <v>5.2483E-3</v>
      </c>
      <c r="P70" s="106"/>
    </row>
    <row r="71" spans="1:18" ht="13.5" thickBot="1">
      <c r="A71" s="591" t="str">
        <f>Data!A75</f>
        <v>HVIL001-UHMWPE-RT-AL-S10.0-0070</v>
      </c>
      <c r="B71" s="592" t="str">
        <f>IF(A71="","",Data!I75)</f>
        <v>Aluminum (AL)</v>
      </c>
      <c r="C71" s="593">
        <f>IF(A71="","",Data!K75)</f>
        <v>10</v>
      </c>
      <c r="D71" s="593">
        <f>IF(A71="","",Data!O75)</f>
        <v>3.3820000000000001</v>
      </c>
      <c r="E71" s="593">
        <f>IF(A71="","",Data!Q75)</f>
        <v>58.081400000000002</v>
      </c>
      <c r="F71" s="594">
        <f>IF(A71="","",Data!S75)</f>
        <v>6252.6683262082097</v>
      </c>
      <c r="G71" s="595">
        <f>IF(A71="","",Data!U75)</f>
        <v>1.75</v>
      </c>
      <c r="H71" s="596">
        <f>IF(A71="","",Data!V75)</f>
        <v>145.00299999999999</v>
      </c>
      <c r="I71" s="597">
        <f>IF(A71="","",Data!X75)</f>
        <v>363.81099999999998</v>
      </c>
      <c r="J71" s="593">
        <f>IF(A71="","",Data!AA75)</f>
        <v>220</v>
      </c>
      <c r="K71" s="593">
        <f>IF(A71="","",Data!Y75)</f>
        <v>75</v>
      </c>
      <c r="L71" s="593" t="str">
        <f>IF(A71="","",Data!BC75)</f>
        <v>Y</v>
      </c>
      <c r="M71" s="598">
        <f>IF(A71="","",Data!BK75)</f>
        <v>0</v>
      </c>
      <c r="N71" s="599"/>
      <c r="O71" s="600"/>
      <c r="P71" s="592"/>
    </row>
    <row r="72" spans="1:18" ht="13.5" thickTop="1">
      <c r="A72" s="584" t="str">
        <f>Data!A76</f>
        <v>HVIL001-HDPE-RT-AL-S10.0-0071</v>
      </c>
      <c r="B72" s="486" t="str">
        <f>IF(A72="","",Data!I76)</f>
        <v>Aluminum (AL)</v>
      </c>
      <c r="C72" s="585">
        <f>IF(A72="","",Data!K76)</f>
        <v>10</v>
      </c>
      <c r="D72" s="585">
        <f>IF(A72="","",Data!O76)</f>
        <v>0</v>
      </c>
      <c r="E72" s="585" t="str">
        <f>IF(A72="","",Data!Q76)</f>
        <v>N/R</v>
      </c>
      <c r="F72" s="586" t="str">
        <f>IF(A72="","",Data!S76)</f>
        <v>N/R</v>
      </c>
      <c r="G72" s="587">
        <f>IF(A72="","",Data!U77)</f>
        <v>1.75</v>
      </c>
      <c r="H72" s="485">
        <f>IF(A72="","",Data!V76)</f>
        <v>135.03899999999999</v>
      </c>
      <c r="I72" s="564">
        <f>IF(A72="","",Data!X76)</f>
        <v>364.16399999999999</v>
      </c>
      <c r="J72" s="585">
        <f>IF(A72="","",Data!AA76)</f>
        <v>220</v>
      </c>
      <c r="K72" s="585">
        <f>IF(A72="","",Data!Y76)</f>
        <v>75</v>
      </c>
      <c r="L72" s="585" t="str">
        <f>IF(A72="","",Data!BC76)</f>
        <v>N</v>
      </c>
      <c r="M72" s="588" t="str">
        <f>IF(A72="","",Data!BK76)</f>
        <v xml:space="preserve">incorrect projectille loaded, causing failure </v>
      </c>
      <c r="N72" s="589"/>
      <c r="O72" s="590"/>
      <c r="P72" s="486"/>
      <c r="Q72" t="s">
        <v>200</v>
      </c>
    </row>
    <row r="73" spans="1:18">
      <c r="A73" s="581" t="str">
        <f>Data!A77</f>
        <v>HVIL001-HDPE-RT-AL-S10.0-0072</v>
      </c>
      <c r="B73" s="106" t="str">
        <f>IF(A73="","",Data!I77)</f>
        <v>Aluminum (AL)</v>
      </c>
      <c r="C73" s="184">
        <f>IF(A73="","",Data!K77)</f>
        <v>10</v>
      </c>
      <c r="D73" s="184">
        <f>IF(A73="","",Data!O77)</f>
        <v>0</v>
      </c>
      <c r="E73" s="184" t="str">
        <f>IF(A73="","",Data!Q77)</f>
        <v>N/R</v>
      </c>
      <c r="F73" s="461" t="str">
        <f>IF(A73="","",Data!S77)</f>
        <v>N/R</v>
      </c>
      <c r="G73" s="463">
        <f>IF(A73="","",Data!U78)</f>
        <v>1.7490000000000001</v>
      </c>
      <c r="H73" s="462">
        <f>IF(A73="","",Data!V77)</f>
        <v>135.01499999999999</v>
      </c>
      <c r="I73" s="87">
        <f>IF(A73="","",Data!X77)</f>
        <v>363.26299999999998</v>
      </c>
      <c r="J73" s="184">
        <f>IF(A73="","",Data!AA77)</f>
        <v>220</v>
      </c>
      <c r="K73" s="184">
        <f>IF(A73="","",Data!Y77)</f>
        <v>75</v>
      </c>
      <c r="L73" s="184" t="str">
        <f>IF(A73="","",Data!BC77)</f>
        <v>N</v>
      </c>
      <c r="M73" s="573" t="str">
        <f>IF(A73="","",Data!BK77)</f>
        <v xml:space="preserve">sabot strike - likely sabot striker failure </v>
      </c>
      <c r="N73" s="579"/>
      <c r="O73" s="111"/>
      <c r="P73" s="106"/>
    </row>
    <row r="74" spans="1:18">
      <c r="A74" s="581" t="str">
        <f>Data!A78</f>
        <v>HVIL001-HDPE-RT-AL-S10.0-0073</v>
      </c>
      <c r="B74" s="106" t="str">
        <f>IF(A74="","",Data!I78)</f>
        <v>Aluminum (AL)</v>
      </c>
      <c r="C74" s="184">
        <f>IF(A74="","",Data!K78)</f>
        <v>10</v>
      </c>
      <c r="D74" s="184">
        <f>IF(A74="","",Data!O78)</f>
        <v>3.399</v>
      </c>
      <c r="E74" s="184">
        <f>IF(A74="","",Data!Q78)</f>
        <v>65.022099999999995</v>
      </c>
      <c r="F74" s="461">
        <f>IF(A74="","",Data!S78)</f>
        <v>5854.9732494078862</v>
      </c>
      <c r="G74" s="463">
        <f>IF(A74="","",Data!U78)</f>
        <v>1.7490000000000001</v>
      </c>
      <c r="H74" s="462">
        <f>IF(A74="","",Data!V78)</f>
        <v>125.005</v>
      </c>
      <c r="I74" s="87">
        <f>IF(A74="","",Data!X78)</f>
        <v>363</v>
      </c>
      <c r="J74" s="184">
        <f>IF(A74="","",Data!AA78)</f>
        <v>220</v>
      </c>
      <c r="K74" s="184">
        <f>IF(A74="","",Data!Y78)</f>
        <v>90</v>
      </c>
      <c r="L74" s="184" t="str">
        <f>IF(A74="","",Data!BC78)</f>
        <v>Y</v>
      </c>
      <c r="M74" s="573" t="str">
        <f>IF(A74="","",Data!BK78)</f>
        <v xml:space="preserve">slight sabot strike, acceptable </v>
      </c>
      <c r="N74" s="579">
        <v>17344</v>
      </c>
      <c r="O74" s="111">
        <v>5.5396000000000004E-3</v>
      </c>
      <c r="P74" s="106"/>
      <c r="Q74">
        <v>7423.5</v>
      </c>
      <c r="R74">
        <f>F74/Q74</f>
        <v>0.7887079207123171</v>
      </c>
    </row>
    <row r="75" spans="1:18">
      <c r="A75" s="581" t="str">
        <f>Data!A79</f>
        <v>HVIL003-PMMA-RT-AL-S04.0-0074</v>
      </c>
      <c r="B75" s="106" t="str">
        <f>IF(A75="","",Data!I79)</f>
        <v>Aluminum (AL)</v>
      </c>
      <c r="C75" s="184">
        <f>IF(A75="","",Data!K79)</f>
        <v>4</v>
      </c>
      <c r="D75" s="184">
        <f>IF(A75="","",Data!O79)</f>
        <v>2.1349999999999998</v>
      </c>
      <c r="E75" s="184">
        <f>IF(A75="","",Data!Q79)</f>
        <v>68.819199999999995</v>
      </c>
      <c r="F75" s="461">
        <f>IF(A75="","",Data!S79)</f>
        <v>6484.1080455569108</v>
      </c>
      <c r="G75" s="463">
        <f>IF(A75="","",Data!U79)</f>
        <v>1.748</v>
      </c>
      <c r="H75" s="462">
        <f>IF(A75="","",Data!V79)</f>
        <v>165</v>
      </c>
      <c r="I75" s="87">
        <f>IF(A75="","",Data!X79)</f>
        <v>364.00400000000002</v>
      </c>
      <c r="J75" s="184">
        <f>IF(A75="","",Data!AA79)</f>
        <v>250</v>
      </c>
      <c r="K75" s="184">
        <f>IF(A75="","",Data!Y79)</f>
        <v>100</v>
      </c>
      <c r="L75" s="184" t="str">
        <f>IF(A75="","",Data!BC79)</f>
        <v>N</v>
      </c>
      <c r="M75" s="573" t="str">
        <f>IF(A75="","",Data!BK79)</f>
        <v xml:space="preserve">wtf </v>
      </c>
      <c r="N75" s="579">
        <v>32520</v>
      </c>
      <c r="O75" s="111">
        <v>3.0720000000000001E-3</v>
      </c>
      <c r="P75" s="106"/>
    </row>
    <row r="76" spans="1:18">
      <c r="A76" s="581" t="str">
        <f>Data!A80</f>
        <v>HVIL003-PMMA-RT-AL-S04.0-0075</v>
      </c>
      <c r="B76" s="106" t="str">
        <f>IF(A76="","",Data!I80)</f>
        <v>Aluminum (AL)</v>
      </c>
      <c r="C76" s="184">
        <f>IF(A76="","",Data!K80)</f>
        <v>4</v>
      </c>
      <c r="D76" s="184">
        <f>IF(A76="","",Data!O80)</f>
        <v>2.145</v>
      </c>
      <c r="E76" s="184">
        <f>IF(A76="","",Data!Q80)</f>
        <v>61.399099999999997</v>
      </c>
      <c r="F76" s="461">
        <f>IF(A76="","",Data!S80)</f>
        <v>6161.7746831245749</v>
      </c>
      <c r="G76" s="463">
        <f>IF(A76="","",Data!U80)</f>
        <v>1.758</v>
      </c>
      <c r="H76" s="462">
        <f>IF(A76="","",Data!V80)</f>
        <v>125.014</v>
      </c>
      <c r="I76" s="87">
        <f>IF(A76="","",Data!X80)</f>
        <v>364.23700000000002</v>
      </c>
      <c r="J76" s="184">
        <f>IF(A76="","",Data!AA80)</f>
        <v>220</v>
      </c>
      <c r="K76" s="184">
        <f>IF(A76="","",Data!Y80)</f>
        <v>85</v>
      </c>
      <c r="L76" s="184" t="str">
        <f>IF(A76="","",Data!BC80)</f>
        <v>Y</v>
      </c>
      <c r="M76" s="573">
        <f>IF(A76="","",Data!BK80)</f>
        <v>0</v>
      </c>
      <c r="N76" s="579">
        <v>16260</v>
      </c>
      <c r="O76" s="111">
        <v>5.4297E-3</v>
      </c>
      <c r="P76" s="106"/>
      <c r="Q76">
        <v>8319.6</v>
      </c>
      <c r="R76">
        <f t="shared" ref="R76:R81" si="0">F76/Q76</f>
        <v>0.74063352602583954</v>
      </c>
    </row>
    <row r="77" spans="1:18">
      <c r="A77" s="581" t="str">
        <f>Data!A81</f>
        <v>HVIL002-HPC-RT-ST-S10.0-0076</v>
      </c>
      <c r="B77" s="106" t="str">
        <f>IF(A77="","",Data!I81)</f>
        <v>Steel (ST)</v>
      </c>
      <c r="C77" s="184">
        <f>IF(A77="","",Data!K81)</f>
        <v>10</v>
      </c>
      <c r="D77" s="184">
        <f>IF(A77="","",Data!O81)</f>
        <v>6.048</v>
      </c>
      <c r="E77" s="184">
        <f>IF(A77="","",Data!Q81)</f>
        <v>74.525700000000001</v>
      </c>
      <c r="F77" s="461">
        <f>IF(A77="","",Data!S81)</f>
        <v>2513.9501608375035</v>
      </c>
      <c r="G77" s="463">
        <f>IF(A77="","",Data!U81)</f>
        <v>1.75</v>
      </c>
      <c r="H77" s="462">
        <f>IF(A77="","",Data!V81)</f>
        <v>60.003999999999998</v>
      </c>
      <c r="I77" s="87">
        <f>IF(A77="","",Data!X81)</f>
        <v>363.197</v>
      </c>
      <c r="J77" s="184">
        <f>IF(A77="","",Data!AA81)</f>
        <v>250</v>
      </c>
      <c r="K77" s="184">
        <f>IF(A77="","",Data!Y81)</f>
        <v>200</v>
      </c>
      <c r="L77" s="184" t="str">
        <f>IF(A77="","",Data!BC81)</f>
        <v>Y</v>
      </c>
      <c r="M77" s="573" t="str">
        <f>IF(A77="","",Data!BK81)</f>
        <v xml:space="preserve">JR - tight piston </v>
      </c>
      <c r="N77" s="579">
        <v>6504</v>
      </c>
      <c r="O77" s="111">
        <v>1.2905E-2</v>
      </c>
      <c r="P77" s="106"/>
      <c r="Q77">
        <v>3443.6</v>
      </c>
      <c r="R77">
        <f t="shared" si="0"/>
        <v>0.73003547474663244</v>
      </c>
    </row>
    <row r="78" spans="1:18">
      <c r="A78" s="581" t="str">
        <f>Data!A82</f>
        <v>HVIL001-UHMWPE-RT-AL-S10.0-0077</v>
      </c>
      <c r="B78" s="106" t="str">
        <f>IF(A78="","",Data!I82)</f>
        <v>Aluminum (AL)</v>
      </c>
      <c r="C78" s="184">
        <f>IF(A78="","",Data!K82)</f>
        <v>10</v>
      </c>
      <c r="D78" s="184">
        <f>IF(A78="","",Data!O82)</f>
        <v>3.4039999999999999</v>
      </c>
      <c r="E78" s="184">
        <f>IF(A78="","",Data!Q82)</f>
        <v>73.349400000000003</v>
      </c>
      <c r="F78" s="461">
        <f>IF(A78="","",Data!S82)</f>
        <v>4054.4767058555262</v>
      </c>
      <c r="G78" s="463">
        <f>IF(A78="","",Data!U82)</f>
        <v>1.75</v>
      </c>
      <c r="H78" s="462">
        <f>IF(A78="","",Data!V82)</f>
        <v>83.001999999999995</v>
      </c>
      <c r="I78" s="87">
        <f>IF(A78="","",Data!X82)</f>
        <v>364.06099999999998</v>
      </c>
      <c r="J78" s="184">
        <f>IF(A78="","",Data!AA82)</f>
        <v>250</v>
      </c>
      <c r="K78" s="184">
        <f>IF(A78="","",Data!Y82)</f>
        <v>100</v>
      </c>
      <c r="L78" s="184" t="str">
        <f>IF(A78="","",Data!BC82)</f>
        <v>Y</v>
      </c>
      <c r="M78" s="573" t="str">
        <f>IF(A78="","",Data!BK82)</f>
        <v xml:space="preserve">JR - really good shot </v>
      </c>
      <c r="N78" s="579">
        <v>9756</v>
      </c>
      <c r="O78" s="111">
        <v>1.0404E-2</v>
      </c>
      <c r="P78" s="106"/>
      <c r="Q78">
        <v>5442.7</v>
      </c>
      <c r="R78">
        <f t="shared" si="0"/>
        <v>0.74493848748884306</v>
      </c>
    </row>
    <row r="79" spans="1:18">
      <c r="A79" s="581" t="str">
        <f>Data!A83</f>
        <v>HVIL005-ACC-RT-NY-S04.0-0078</v>
      </c>
      <c r="B79" s="106" t="str">
        <f>IF(A79="","",Data!I83)</f>
        <v>Nylon (NY)</v>
      </c>
      <c r="C79" s="184">
        <f>IF(A79="","",Data!K83)</f>
        <v>4</v>
      </c>
      <c r="D79" s="184">
        <f>IF(A79="","",Data!O83)</f>
        <v>2.0860000000000003</v>
      </c>
      <c r="E79" s="184">
        <f>IF(A79="","",Data!Q83)</f>
        <v>76.689300000000003</v>
      </c>
      <c r="F79" s="461">
        <f>IF(A79="","",Data!S83)</f>
        <v>1876.995774413263</v>
      </c>
      <c r="G79" s="463">
        <f>IF(A79="","",Data!U83)</f>
        <v>1.7509999999999999</v>
      </c>
      <c r="H79" s="462">
        <f>IF(A79="","",Data!V83)</f>
        <v>50.003</v>
      </c>
      <c r="I79" s="87">
        <f>IF(A79="","",Data!X83)</f>
        <v>362.84199999999998</v>
      </c>
      <c r="J79" s="184">
        <f>IF(A79="","",Data!AA83)</f>
        <v>250</v>
      </c>
      <c r="K79" s="184">
        <f>IF(A79="","",Data!Y83)</f>
        <v>200</v>
      </c>
      <c r="L79" s="184" t="str">
        <f>IF(A79="","",Data!BC83)</f>
        <v>Y</v>
      </c>
      <c r="M79" s="573" t="str">
        <f>IF(A79="","",Data!BK83)</f>
        <v xml:space="preserve">JR - great shot </v>
      </c>
      <c r="N79" s="579">
        <v>1084</v>
      </c>
      <c r="O79" s="111">
        <v>1.9480999999999998E-2</v>
      </c>
      <c r="P79" s="106"/>
      <c r="Q79">
        <v>4069.2</v>
      </c>
      <c r="R79">
        <f t="shared" si="0"/>
        <v>0.46126899007501798</v>
      </c>
    </row>
    <row r="80" spans="1:18">
      <c r="A80" s="581" t="str">
        <f>Data!A84</f>
        <v>HVIL005-ACC-RT-NY-S04.0-0079</v>
      </c>
      <c r="B80" s="106" t="str">
        <f>IF(A80="","",Data!I84)</f>
        <v>Nylon (NY)</v>
      </c>
      <c r="C80" s="184">
        <f>IF(A80="","",Data!K84)</f>
        <v>4</v>
      </c>
      <c r="D80" s="184">
        <f>IF(A80="","",Data!O84)</f>
        <v>2.08</v>
      </c>
      <c r="E80" s="184">
        <f>IF(A80="","",Data!Q84)</f>
        <v>94.370999999999995</v>
      </c>
      <c r="F80" s="461">
        <f>IF(A80="","",Data!S84)</f>
        <v>1971.1323203780705</v>
      </c>
      <c r="G80" s="463">
        <f>IF(A80="","",Data!U84)</f>
        <v>1.75</v>
      </c>
      <c r="H80" s="462">
        <f>IF(A80="","",Data!V84)</f>
        <v>55.012999999999998</v>
      </c>
      <c r="I80" s="87">
        <f>IF(A80="","",Data!X84)</f>
        <v>362.41199999999998</v>
      </c>
      <c r="J80" s="184">
        <f>IF(A80="","",Data!AA84)</f>
        <v>250</v>
      </c>
      <c r="K80" s="184">
        <f>IF(A80="","",Data!Y84)</f>
        <v>200</v>
      </c>
      <c r="L80" s="184" t="str">
        <f>IF(A80="","",Data!BC84)</f>
        <v>Y</v>
      </c>
      <c r="M80" s="573" t="str">
        <f>IF(A80="","",Data!BK84)</f>
        <v xml:space="preserve">JR - great shot </v>
      </c>
      <c r="N80" s="579"/>
      <c r="O80" s="111"/>
      <c r="P80" s="106"/>
    </row>
    <row r="81" spans="1:18">
      <c r="A81" s="581" t="str">
        <f>Data!A85</f>
        <v>HVIL002-HPC-RT-ST-S10.0-0080</v>
      </c>
      <c r="B81" s="106" t="str">
        <f>IF(A81="","",Data!I85)</f>
        <v>Steel (ST)</v>
      </c>
      <c r="C81" s="184">
        <f>IF(A81="","",Data!K85)</f>
        <v>10</v>
      </c>
      <c r="D81" s="184">
        <f>IF(A81="","",Data!O85)</f>
        <v>6.056</v>
      </c>
      <c r="E81" s="184">
        <f>IF(A81="","",Data!Q85)</f>
        <v>65.031400000000005</v>
      </c>
      <c r="F81" s="461">
        <f>IF(A81="","",Data!S85)</f>
        <v>2033.7881496032053</v>
      </c>
      <c r="G81" s="463">
        <f>IF(A81="","",Data!U85)</f>
        <v>1.7509999999999999</v>
      </c>
      <c r="H81" s="462">
        <f>IF(A81="","",Data!V85)</f>
        <v>60.006999999999998</v>
      </c>
      <c r="I81" s="87">
        <f>IF(A81="","",Data!X85)</f>
        <v>363.827</v>
      </c>
      <c r="J81" s="184">
        <f>IF(A81="","",Data!AA85)</f>
        <v>250</v>
      </c>
      <c r="K81" s="184">
        <f>IF(A81="","",Data!Y85)</f>
        <v>200</v>
      </c>
      <c r="L81" s="184" t="str">
        <f>IF(A81="","",Data!BC85)</f>
        <v>Y</v>
      </c>
      <c r="M81" s="573" t="str">
        <f>IF(A81="","",Data!BK85)</f>
        <v xml:space="preserve">JR - great shot, good idea to stay above 60 g of powder for successful acceleration </v>
      </c>
      <c r="N81" s="579"/>
      <c r="O81" s="111"/>
      <c r="P81" s="106"/>
      <c r="Q81">
        <v>3450.5</v>
      </c>
      <c r="R81">
        <f t="shared" si="0"/>
        <v>0.58941838852433137</v>
      </c>
    </row>
    <row r="82" spans="1:18">
      <c r="A82" s="581" t="str">
        <f>Data!A86</f>
        <v>HVIL001-UHMWPE-RT-AL-S10.0-0081</v>
      </c>
      <c r="B82" s="469" t="str">
        <f>IF(A82="","",Data!I86)</f>
        <v>Aluminum (AL)</v>
      </c>
      <c r="C82" s="574">
        <f>IF(A82="","",Data!K86)</f>
        <v>10</v>
      </c>
      <c r="D82" s="574">
        <f>IF(A82="","",Data!O86)</f>
        <v>3.4060000000000001</v>
      </c>
      <c r="E82" s="574">
        <f>IF(A82="","",Data!Q86)</f>
        <v>82.123800000000003</v>
      </c>
      <c r="F82" s="575">
        <f>IF(A82="","",Data!S86)</f>
        <v>2625.8349104681324</v>
      </c>
      <c r="G82" s="576">
        <f>IF(A82="","",Data!U86)</f>
        <v>1.748</v>
      </c>
      <c r="H82" s="470">
        <f>IF(A82="","",Data!V86)</f>
        <v>65</v>
      </c>
      <c r="I82" s="563">
        <f>IF(A82="","",Data!X86)</f>
        <v>363.52100000000002</v>
      </c>
      <c r="J82" s="574">
        <f>IF(A82="","",Data!AA86)</f>
        <v>251</v>
      </c>
      <c r="K82" s="574">
        <f>IF(A82="","",Data!Y86)</f>
        <v>200</v>
      </c>
      <c r="L82" s="574" t="str">
        <f>IF(A82="","",Data!BC86)</f>
        <v>Y</v>
      </c>
      <c r="M82" s="607" t="str">
        <f>IF(A82="","",Data!BK86)</f>
        <v xml:space="preserve">JR - great shot, lower velocity than expected </v>
      </c>
      <c r="N82" s="608"/>
      <c r="O82" s="578"/>
      <c r="P82" s="469"/>
    </row>
    <row r="83" spans="1:18">
      <c r="A83" s="606" t="str">
        <f>Data!A87</f>
        <v>HVIL001-UHMWPE-RT-AL-S10.0-0082</v>
      </c>
      <c r="B83" s="469" t="str">
        <f>IF(A83="","",Data!I87)</f>
        <v>Aluminum (AL)</v>
      </c>
      <c r="C83" s="574">
        <f>IF(A83="","",Data!K87)</f>
        <v>10</v>
      </c>
      <c r="D83" s="574">
        <f>IF(A83="","",Data!O87)</f>
        <v>3.42</v>
      </c>
      <c r="E83" s="574">
        <f>IF(A83="","",Data!Q87)</f>
        <v>73.615899999999996</v>
      </c>
      <c r="F83" s="575">
        <f>IF(A83="","",Data!S87)</f>
        <v>3106.7341507316578</v>
      </c>
      <c r="G83" s="576">
        <f>IF(A83="","",Data!U87)</f>
        <v>1.75</v>
      </c>
      <c r="H83" s="470">
        <f>IF(A83="","",Data!V87)</f>
        <v>70.010000000000005</v>
      </c>
      <c r="I83" s="563">
        <f>IF(A83="","",Data!X87)</f>
        <v>363.72300000000001</v>
      </c>
      <c r="J83" s="574">
        <f>IF(A83="","",Data!AA87)</f>
        <v>250</v>
      </c>
      <c r="K83" s="574">
        <f>IF(A83="","",Data!Y87)</f>
        <v>200</v>
      </c>
      <c r="L83" s="574" t="str">
        <f>IF(A83="","",Data!BC87)</f>
        <v>Y</v>
      </c>
      <c r="M83" s="607">
        <f>IF(A83="","",Data!BK87)</f>
        <v>0</v>
      </c>
      <c r="N83" s="608"/>
      <c r="O83" s="578"/>
      <c r="P83" s="469"/>
    </row>
    <row r="84" spans="1:18">
      <c r="A84" s="606" t="str">
        <f>Data!A88</f>
        <v>HVIL001-UHMWPE-RT-AL-S10.0-0083</v>
      </c>
      <c r="B84" s="469" t="str">
        <f>IF(A84="","",Data!I88)</f>
        <v>Aluminum (AL)</v>
      </c>
      <c r="C84" s="574">
        <f>IF(A84="","",Data!K88)</f>
        <v>10</v>
      </c>
      <c r="D84" s="574">
        <f>IF(A84="","",Data!O88)</f>
        <v>3.403</v>
      </c>
      <c r="E84" s="574">
        <f>IF(A84="","",Data!Q88)</f>
        <v>77.939899999999994</v>
      </c>
      <c r="F84" s="575">
        <f>IF(A84="","",Data!S88)</f>
        <v>3233.7638055035945</v>
      </c>
      <c r="G84" s="576">
        <f>IF(A84="","",Data!U88)</f>
        <v>1.748</v>
      </c>
      <c r="H84" s="470">
        <f>IF(A84="","",Data!V88)</f>
        <v>75.036000000000001</v>
      </c>
      <c r="I84" s="563">
        <f>IF(A84="","",Data!X88)</f>
        <v>363.601</v>
      </c>
      <c r="J84" s="574">
        <f>IF(A84="","",Data!AA88)</f>
        <v>250</v>
      </c>
      <c r="K84" s="574">
        <f>IF(A84="","",Data!Y88)</f>
        <v>200</v>
      </c>
      <c r="L84" s="574" t="str">
        <f>IF(A84="","",Data!BC88)</f>
        <v>Y</v>
      </c>
      <c r="M84" s="607">
        <f>IF(A84="","",Data!BK88)</f>
        <v>0</v>
      </c>
      <c r="N84" s="608"/>
      <c r="O84" s="578"/>
      <c r="P84" s="469"/>
    </row>
    <row r="85" spans="1:18">
      <c r="A85" s="606" t="str">
        <f>Data!A89</f>
        <v>HVIL001-UHMWPE-RT-AL-S10.0-0084</v>
      </c>
      <c r="B85" s="469" t="str">
        <f>IF(A85="","",Data!I89)</f>
        <v>Aluminum (AL)</v>
      </c>
      <c r="C85" s="574">
        <f>IF(A85="","",Data!K89)</f>
        <v>10</v>
      </c>
      <c r="D85" s="574">
        <f>IF(A85="","",Data!O89)</f>
        <v>3.403</v>
      </c>
      <c r="E85" s="574">
        <f>IF(A85="","",Data!Q89)</f>
        <v>82.773399999999995</v>
      </c>
      <c r="F85" s="575">
        <f>IF(A85="","",Data!S89)</f>
        <v>3496.4900892163246</v>
      </c>
      <c r="G85" s="576">
        <f>IF(A85="","",Data!U89)</f>
        <v>1.75</v>
      </c>
      <c r="H85" s="470">
        <f>IF(A85="","",Data!V89)</f>
        <v>75</v>
      </c>
      <c r="I85" s="563">
        <f>IF(A85="","",Data!X89)</f>
        <v>363.29399999999998</v>
      </c>
      <c r="J85" s="574">
        <f>IF(A85="","",Data!AA89)</f>
        <v>250</v>
      </c>
      <c r="K85" s="574">
        <f>IF(A85="","",Data!Y89)</f>
        <v>110</v>
      </c>
      <c r="L85" s="574" t="str">
        <f>IF(A85="","",Data!BC89)</f>
        <v>Y</v>
      </c>
      <c r="M85" s="607">
        <f>IF(A85="","",Data!BK89)</f>
        <v>0</v>
      </c>
      <c r="N85" s="608"/>
      <c r="O85" s="578"/>
      <c r="P85" s="469"/>
    </row>
    <row r="86" spans="1:18">
      <c r="A86" s="606" t="str">
        <f>Data!A90</f>
        <v>HVIL001-HDPE-RT-AL-S10.0-0085</v>
      </c>
      <c r="B86" s="469" t="str">
        <f>IF(A86="","",Data!I90)</f>
        <v>Aluminum (AL)</v>
      </c>
      <c r="C86" s="574">
        <f>IF(A86="","",Data!K90)</f>
        <v>10</v>
      </c>
      <c r="D86" s="574">
        <f>IF(A86="","",Data!O90)</f>
        <v>3.407</v>
      </c>
      <c r="E86" s="574">
        <f>IF(A86="","",Data!Q90)</f>
        <v>67.909099999999995</v>
      </c>
      <c r="F86" s="575">
        <f>IF(A86="","",Data!S90)</f>
        <v>3106.9136845318139</v>
      </c>
      <c r="G86" s="576">
        <f>IF(A86="","",Data!U90)</f>
        <v>1.75</v>
      </c>
      <c r="H86" s="470">
        <f>IF(A86="","",Data!V90)</f>
        <v>70.001000000000005</v>
      </c>
      <c r="I86" s="563">
        <f>IF(A86="","",Data!X90)</f>
        <v>363.226</v>
      </c>
      <c r="J86" s="574">
        <f>IF(A86="","",Data!AA90)</f>
        <v>250</v>
      </c>
      <c r="K86" s="574">
        <f>IF(A86="","",Data!Y90)</f>
        <v>200</v>
      </c>
      <c r="L86" s="574" t="str">
        <f>IF(A86="","",Data!BC90)</f>
        <v>Y</v>
      </c>
      <c r="M86" s="607">
        <f>IF(A86="","",Data!BK90)</f>
        <v>0</v>
      </c>
      <c r="N86" s="608"/>
      <c r="O86" s="578"/>
      <c r="P86" s="469"/>
    </row>
    <row r="87" spans="1:18">
      <c r="A87" s="606" t="str">
        <f>Data!A91</f>
        <v>HVIL001-HDPE-RT-AL-S10.0-0086</v>
      </c>
      <c r="B87" s="469" t="str">
        <f>IF(A87="","",Data!I91)</f>
        <v>Aluminum (AL)</v>
      </c>
      <c r="C87" s="574">
        <f>IF(A87="","",Data!K91)</f>
        <v>10</v>
      </c>
      <c r="D87" s="574">
        <f>IF(A87="","",Data!O91)</f>
        <v>3.4049999999999998</v>
      </c>
      <c r="E87" s="574">
        <f>IF(A87="","",Data!Q91)</f>
        <v>70.577699999999993</v>
      </c>
      <c r="F87" s="575">
        <f>IF(A87="","",Data!S91)</f>
        <v>3807.2950310992551</v>
      </c>
      <c r="G87" s="576">
        <f>IF(A87="","",Data!U91)</f>
        <v>1.752</v>
      </c>
      <c r="H87" s="470">
        <f>IF(A87="","",Data!V91)</f>
        <v>83.01</v>
      </c>
      <c r="I87" s="563">
        <f>IF(A87="","",Data!X91)</f>
        <v>363.464</v>
      </c>
      <c r="J87" s="574">
        <f>IF(A87="","",Data!AA91)</f>
        <v>250</v>
      </c>
      <c r="K87" s="574">
        <f>IF(A87="","",Data!Y91)</f>
        <v>110</v>
      </c>
      <c r="L87" s="574" t="str">
        <f>IF(A87="","",Data!BC91)</f>
        <v>Y</v>
      </c>
      <c r="M87" s="607">
        <f>IF(A87="","",Data!BK91)</f>
        <v>0</v>
      </c>
      <c r="N87" s="608"/>
      <c r="O87" s="578"/>
      <c r="P87" s="469"/>
    </row>
    <row r="88" spans="1:18">
      <c r="A88" s="606" t="str">
        <f>Data!A92</f>
        <v>HVIL002-HPC-RT-S2-S10.0-0087</v>
      </c>
      <c r="B88" s="469" t="str">
        <f>IF(A88="","",Data!I92)</f>
        <v>Tool Steel (S2)</v>
      </c>
      <c r="C88" s="574">
        <f>IF(A88="","",Data!K92)</f>
        <v>10</v>
      </c>
      <c r="D88" s="574">
        <f>IF(A88="","",Data!O92)</f>
        <v>6.0449999999999999</v>
      </c>
      <c r="E88" s="574">
        <f>IF(A88="","",Data!Q92)</f>
        <v>98.424800000000005</v>
      </c>
      <c r="F88" s="575">
        <f>IF(A88="","",Data!S92)</f>
        <v>2264.1999999999998</v>
      </c>
      <c r="G88" s="576">
        <f>IF(A88="","",Data!U92)</f>
        <v>1.756</v>
      </c>
      <c r="H88" s="470">
        <f>IF(A88="","",Data!V92)</f>
        <v>65.322999999999993</v>
      </c>
      <c r="I88" s="563">
        <f>IF(A88="","",Data!X92)</f>
        <v>363.13</v>
      </c>
      <c r="J88" s="574">
        <f>IF(A88="","",Data!AA92)</f>
        <v>250</v>
      </c>
      <c r="K88" s="574">
        <f>IF(A88="","",Data!Y92)</f>
        <v>300</v>
      </c>
      <c r="L88" s="574" t="str">
        <f>IF(A88="","",Data!BC92)</f>
        <v>Y</v>
      </c>
      <c r="M88" s="607">
        <f>IF(A88="","",Data!BK92)</f>
        <v>0</v>
      </c>
      <c r="N88" s="608"/>
      <c r="O88" s="578"/>
      <c r="P88" s="469"/>
    </row>
    <row r="89" spans="1:18">
      <c r="A89" s="606" t="str">
        <f>Data!A93</f>
        <v>HVIL002-HPC-RT-S2-S10.0-0088</v>
      </c>
      <c r="B89" s="469" t="str">
        <f>IF(A89="","",Data!I93)</f>
        <v>Tool Steel (S2)</v>
      </c>
      <c r="C89" s="574">
        <f>IF(A89="","",Data!K93)</f>
        <v>10</v>
      </c>
      <c r="D89" s="574">
        <f>IF(A89="","",Data!O93)</f>
        <v>6.0549999999999997</v>
      </c>
      <c r="E89" s="574">
        <f>IF(A89="","",Data!Q93)</f>
        <v>72.442599999999999</v>
      </c>
      <c r="F89" s="575">
        <f>IF(A89="","",Data!S93)</f>
        <v>1823.4</v>
      </c>
      <c r="G89" s="576">
        <f>IF(A89="","",Data!U93)</f>
        <v>1.7490000000000001</v>
      </c>
      <c r="H89" s="470">
        <f>IF(A89="","",Data!V93)</f>
        <v>65</v>
      </c>
      <c r="I89" s="563">
        <f>IF(A89="","",Data!X93)</f>
        <v>361.86799999999999</v>
      </c>
      <c r="J89" s="574">
        <f>IF(A89="","",Data!AA93)</f>
        <v>260</v>
      </c>
      <c r="K89" s="574">
        <f>IF(A89="","",Data!Y93)</f>
        <v>495</v>
      </c>
      <c r="L89" s="574" t="str">
        <f>IF(A89="","",Data!BC93)</f>
        <v>Y</v>
      </c>
      <c r="M89" s="607">
        <f>IF(A89="","",Data!BK93)</f>
        <v>0</v>
      </c>
      <c r="N89" s="608"/>
      <c r="O89" s="578"/>
      <c r="P89" s="469"/>
    </row>
    <row r="90" spans="1:18">
      <c r="A90" s="606" t="str">
        <f>Data!A94</f>
        <v>HVIL001-HDPE-RT-AL-S10.0-0089</v>
      </c>
      <c r="B90" s="469" t="str">
        <f>IF(A90="","",Data!I94)</f>
        <v>Aluminum (AL)</v>
      </c>
      <c r="C90" s="574">
        <f>IF(A90="","",Data!K94)</f>
        <v>10</v>
      </c>
      <c r="D90" s="574">
        <f>IF(A90="","",Data!O94)</f>
        <v>3.395</v>
      </c>
      <c r="E90" s="574">
        <f>IF(A90="","",Data!Q94)</f>
        <v>46.1586</v>
      </c>
      <c r="F90" s="575">
        <f>IF(A90="","",Data!S94)</f>
        <v>5933.1</v>
      </c>
      <c r="G90" s="576">
        <f>IF(A90="","",Data!U94)</f>
        <v>1.7490000000000001</v>
      </c>
      <c r="H90" s="470">
        <f>IF(A90="","",Data!V94)</f>
        <v>129.999</v>
      </c>
      <c r="I90" s="563">
        <f>IF(A90="","",Data!X94)</f>
        <v>363.05200000000002</v>
      </c>
      <c r="J90" s="574">
        <f>IF(A90="","",Data!AA94)</f>
        <v>220</v>
      </c>
      <c r="K90" s="574">
        <f>IF(A90="","",Data!Y94)</f>
        <v>80</v>
      </c>
      <c r="L90" s="574" t="str">
        <f>IF(A90="","",Data!BC94)</f>
        <v>N</v>
      </c>
      <c r="M90" s="607">
        <f>IF(A90="","",Data!BK94)</f>
        <v>0</v>
      </c>
      <c r="N90" s="608"/>
      <c r="O90" s="578"/>
      <c r="P90" s="469"/>
    </row>
    <row r="91" spans="1:18">
      <c r="A91" s="606" t="str">
        <f>Data!A95</f>
        <v>HVIL001-HDPE-RT-AL-S10.0-0090</v>
      </c>
      <c r="B91" s="469" t="str">
        <f>IF(A91="","",Data!I95)</f>
        <v>Aluminum (AL)</v>
      </c>
      <c r="C91" s="574">
        <f>IF(A91="","",Data!K95)</f>
        <v>10</v>
      </c>
      <c r="D91" s="574">
        <f>IF(A91="","",Data!O95)</f>
        <v>3.4159999999999999</v>
      </c>
      <c r="E91" s="574">
        <f>IF(A91="","",Data!Q95)</f>
        <v>82.578800000000001</v>
      </c>
      <c r="F91" s="575">
        <f>IF(A91="","",Data!S95)</f>
        <v>3896.5</v>
      </c>
      <c r="G91" s="576">
        <f>IF(A91="","",Data!U95)</f>
        <v>1.75</v>
      </c>
      <c r="H91" s="470">
        <f>IF(A91="","",Data!V95)</f>
        <v>85.033000000000001</v>
      </c>
      <c r="I91" s="563">
        <f>IF(A91="","",Data!X95)</f>
        <v>363.113</v>
      </c>
      <c r="J91" s="574">
        <f>IF(A91="","",Data!AA95)</f>
        <v>250</v>
      </c>
      <c r="K91" s="574">
        <f>IF(A91="","",Data!Y95)</f>
        <v>100</v>
      </c>
      <c r="L91" s="574" t="str">
        <f>IF(A91="","",Data!BC95)</f>
        <v>Y</v>
      </c>
      <c r="M91" s="607">
        <f>IF(A91="","",Data!BK95)</f>
        <v>0</v>
      </c>
      <c r="N91" s="608"/>
      <c r="O91" s="578"/>
      <c r="P91" s="469"/>
    </row>
    <row r="92" spans="1:18">
      <c r="A92" s="606" t="str">
        <f>Data!A96</f>
        <v>HVIL001-WATER-RT-PC-C12.7-0091</v>
      </c>
      <c r="B92" s="469" t="str">
        <f>IF(A92="","",Data!I96)</f>
        <v>Polycarbonate (PC)</v>
      </c>
      <c r="C92" s="574">
        <f>IF(A92="","",Data!K96)</f>
        <v>12.65</v>
      </c>
      <c r="D92" s="574">
        <f>IF(A92="","",Data!O96)</f>
        <v>2.8140000000000001</v>
      </c>
      <c r="E92" s="574">
        <f>IF(A92="","",Data!Q96)</f>
        <v>96.338399999999993</v>
      </c>
      <c r="F92" s="575">
        <f>IF(A92="","",Data!S96)</f>
        <v>2433.5</v>
      </c>
      <c r="G92" s="576">
        <f>IF(A92="","",Data!U96)</f>
        <v>1.75</v>
      </c>
      <c r="H92" s="470">
        <f>IF(A92="","",Data!V96)</f>
        <v>65.046000000000006</v>
      </c>
      <c r="I92" s="563">
        <f>IF(A92="","",Data!X96)</f>
        <v>362.74400000000003</v>
      </c>
      <c r="J92" s="574">
        <f>IF(A92="","",Data!AA96)</f>
        <v>260</v>
      </c>
      <c r="K92" s="574">
        <f>IF(A92="","",Data!Y96)</f>
        <v>300</v>
      </c>
      <c r="L92" s="574" t="str">
        <f>IF(A92="","",Data!BC96)</f>
        <v>Y</v>
      </c>
      <c r="M92" s="607">
        <f>IF(A92="","",Data!BK96)</f>
        <v>0</v>
      </c>
      <c r="N92" s="608"/>
      <c r="O92" s="578"/>
      <c r="P92" s="469"/>
    </row>
    <row r="93" spans="1:18">
      <c r="A93" s="606" t="str">
        <f>Data!A97</f>
        <v>HVIL001-WATER-RT-PC-C12.7-0092</v>
      </c>
      <c r="B93" s="469" t="str">
        <f>IF(A93="","",Data!I97)</f>
        <v>Polycarbonate (PC)</v>
      </c>
      <c r="C93" s="574">
        <f>IF(A93="","",Data!K97)</f>
        <v>12.65</v>
      </c>
      <c r="D93" s="574">
        <f>IF(A93="","",Data!O97)</f>
        <v>2.198</v>
      </c>
      <c r="E93" s="574">
        <f>IF(A93="","",Data!Q97)</f>
        <v>61.393000000000001</v>
      </c>
      <c r="F93" s="575">
        <f>IF(A93="","",Data!S97)</f>
        <v>2669.7</v>
      </c>
      <c r="G93" s="576">
        <f>IF(A93="","",Data!U97)</f>
        <v>1.7509999999999999</v>
      </c>
      <c r="H93" s="470">
        <f>IF(A93="","",Data!V97)</f>
        <v>65.009</v>
      </c>
      <c r="I93" s="563">
        <f>IF(A93="","",Data!X97)</f>
        <v>362.75</v>
      </c>
      <c r="J93" s="574">
        <f>IF(A93="","",Data!AA97)</f>
        <v>251</v>
      </c>
      <c r="K93" s="574">
        <f>IF(A93="","",Data!Y97)</f>
        <v>305</v>
      </c>
      <c r="L93" s="574" t="str">
        <f>IF(A93="","",Data!BC97)</f>
        <v>Y</v>
      </c>
      <c r="M93" s="607">
        <f>IF(A93="","",Data!BK97)</f>
        <v>0</v>
      </c>
      <c r="N93" s="608"/>
      <c r="O93" s="578"/>
      <c r="P93" s="469"/>
    </row>
    <row r="94" spans="1:18">
      <c r="A94" s="606" t="str">
        <f>Data!A98</f>
        <v>HVIL001-UHMWPE-RT-AL-S10.0-0093</v>
      </c>
      <c r="B94" s="469" t="str">
        <f>IF(A94="","",Data!I98)</f>
        <v>Aluminum (AL)</v>
      </c>
      <c r="C94" s="574">
        <f>IF(A94="","",Data!K98)</f>
        <v>10</v>
      </c>
      <c r="D94" s="574">
        <f>IF(A94="","",Data!O98)</f>
        <v>3.4089999999999998</v>
      </c>
      <c r="E94" s="574">
        <f>IF(A94="","",Data!Q98)</f>
        <v>85.601500000000001</v>
      </c>
      <c r="F94" s="575">
        <f>IF(A94="","",Data!S98)</f>
        <v>2434.9</v>
      </c>
      <c r="G94" s="576">
        <f>IF(A94="","",Data!U98)</f>
        <v>1.7509999999999999</v>
      </c>
      <c r="H94" s="470">
        <f>IF(A94="","",Data!V98)</f>
        <v>65</v>
      </c>
      <c r="I94" s="563">
        <f>IF(A94="","",Data!X98)</f>
        <v>362.66800000000001</v>
      </c>
      <c r="J94" s="574">
        <f>IF(A94="","",Data!AA98)</f>
        <v>249</v>
      </c>
      <c r="K94" s="574">
        <f>IF(A94="","",Data!Y98)</f>
        <v>299</v>
      </c>
      <c r="L94" s="574" t="str">
        <f>IF(A94="","",Data!BC98)</f>
        <v>Y</v>
      </c>
      <c r="M94" s="607">
        <f>IF(A94="","",Data!BK98)</f>
        <v>0</v>
      </c>
      <c r="N94" s="608"/>
      <c r="O94" s="578"/>
      <c r="P94" s="469"/>
    </row>
    <row r="95" spans="1:18">
      <c r="A95" s="606" t="str">
        <f>Data!A99</f>
        <v>HVIL005-ACC-RT-NY-S04.0-0094</v>
      </c>
      <c r="B95" s="469" t="str">
        <f>IF(A95="","",Data!I99)</f>
        <v>Nylon (NY)</v>
      </c>
      <c r="C95" s="574">
        <f>IF(A95="","",Data!K99)</f>
        <v>4</v>
      </c>
      <c r="D95" s="574">
        <f>IF(A95="","",Data!O99)</f>
        <v>0</v>
      </c>
      <c r="E95" s="574" t="str">
        <f>IF(A95="","",Data!Q99)</f>
        <v>ITAR</v>
      </c>
      <c r="F95" s="575" t="str">
        <f>IF(A95="","",Data!S99)</f>
        <v>ITAR</v>
      </c>
      <c r="G95" s="576">
        <f>IF(A95="","",Data!U99)</f>
        <v>1.75</v>
      </c>
      <c r="H95" s="470">
        <f>IF(A95="","",Data!V99)</f>
        <v>63.017000000000003</v>
      </c>
      <c r="I95" s="563">
        <f>IF(A95="","",Data!X99)</f>
        <v>362.8</v>
      </c>
      <c r="J95" s="574">
        <f>IF(A95="","",Data!AA99)</f>
        <v>249</v>
      </c>
      <c r="K95" s="574">
        <f>IF(A95="","",Data!Y99)</f>
        <v>199</v>
      </c>
      <c r="L95" s="574" t="str">
        <f>IF(A95="","",Data!BC99)</f>
        <v>Y</v>
      </c>
      <c r="M95" s="607">
        <f>IF(A95="","",Data!BK99)</f>
        <v>0</v>
      </c>
      <c r="N95" s="608"/>
      <c r="O95" s="578"/>
      <c r="P95" s="469"/>
    </row>
    <row r="96" spans="1:18">
      <c r="A96" s="606" t="str">
        <f>Data!A100</f>
        <v>HVIL001-HDPE-RT-AL-S10.0-0095</v>
      </c>
      <c r="B96" s="469" t="str">
        <f>IF(A96="","",Data!I100)</f>
        <v>Aluminum (AL)</v>
      </c>
      <c r="C96" s="574">
        <f>IF(A96="","",Data!K100)</f>
        <v>10</v>
      </c>
      <c r="D96" s="574">
        <f>IF(A96="","",Data!O100)</f>
        <v>3.403</v>
      </c>
      <c r="E96" s="574">
        <f>IF(A96="","",Data!Q100)</f>
        <v>70.092500000000001</v>
      </c>
      <c r="F96" s="575">
        <f>IF(A96="","",Data!S100)</f>
        <v>2397.1999999999998</v>
      </c>
      <c r="G96" s="576">
        <f>IF(A96="","",Data!U100)</f>
        <v>1.7509999999999999</v>
      </c>
      <c r="H96" s="470">
        <f>IF(A96="","",Data!V100)</f>
        <v>60.826000000000001</v>
      </c>
      <c r="I96" s="563">
        <f>IF(A96="","",Data!X100)</f>
        <v>362.851</v>
      </c>
      <c r="J96" s="574">
        <f>IF(A96="","",Data!AA100)</f>
        <v>251</v>
      </c>
      <c r="K96" s="574">
        <f>IF(A96="","",Data!Y100)</f>
        <v>193</v>
      </c>
      <c r="L96" s="574" t="str">
        <f>IF(A96="","",Data!BC100)</f>
        <v>Y</v>
      </c>
      <c r="M96" s="607">
        <f>IF(A96="","",Data!BK100)</f>
        <v>0</v>
      </c>
      <c r="N96" s="608"/>
      <c r="O96" s="578"/>
      <c r="P96" s="469"/>
    </row>
    <row r="97" spans="1:16">
      <c r="A97" s="606" t="str">
        <f>Data!A101</f>
        <v>HVIL001-HDPE-RT-AL-S10.0-0096</v>
      </c>
      <c r="B97" s="469" t="str">
        <f>IF(A97="","",Data!I101)</f>
        <v>Aluminum (AL)</v>
      </c>
      <c r="C97" s="574">
        <f>IF(A97="","",Data!K101)</f>
        <v>10</v>
      </c>
      <c r="D97" s="574">
        <f>IF(A97="","",Data!O101)</f>
        <v>3.4009999999999998</v>
      </c>
      <c r="E97" s="574">
        <f>IF(A97="","",Data!Q101)</f>
        <v>88.634600000000006</v>
      </c>
      <c r="F97" s="575">
        <f>IF(A97="","",Data!S101)</f>
        <v>1966.3</v>
      </c>
      <c r="G97" s="576">
        <f>IF(A97="","",Data!U101)</f>
        <v>1.768</v>
      </c>
      <c r="H97" s="470">
        <f>IF(A97="","",Data!V101)</f>
        <v>59.968000000000004</v>
      </c>
      <c r="I97" s="563">
        <f>IF(A97="","",Data!X101)</f>
        <v>363.084</v>
      </c>
      <c r="J97" s="574">
        <f>IF(A97="","",Data!AA101)</f>
        <v>255</v>
      </c>
      <c r="K97" s="574">
        <f>IF(A97="","",Data!Y101)</f>
        <v>215</v>
      </c>
      <c r="L97" s="574" t="str">
        <f>IF(A97="","",Data!BC101)</f>
        <v>Y</v>
      </c>
      <c r="M97" s="607">
        <f>IF(A97="","",Data!BK101)</f>
        <v>0</v>
      </c>
      <c r="N97" s="608"/>
      <c r="O97" s="578"/>
      <c r="P97" s="469"/>
    </row>
    <row r="98" spans="1:16">
      <c r="A98" s="606" t="str">
        <f>Data!A102</f>
        <v>HVIL002-HPC-RT-S2-S10.0-0097</v>
      </c>
      <c r="B98" s="469" t="str">
        <f>IF(A98="","",Data!I102)</f>
        <v>Tool Steel (S2)</v>
      </c>
      <c r="C98" s="574">
        <f>IF(A98="","",Data!K102)</f>
        <v>10</v>
      </c>
      <c r="D98" s="574">
        <f>IF(A98="","",Data!O102)</f>
        <v>6.01</v>
      </c>
      <c r="E98" s="574">
        <f>IF(A98="","",Data!Q102)</f>
        <v>63.179900000000004</v>
      </c>
      <c r="F98" s="575">
        <f>IF(A98="","",Data!S102)</f>
        <v>2611.6</v>
      </c>
      <c r="G98" s="576">
        <f>IF(A98="","",Data!U102)</f>
        <v>1.746</v>
      </c>
      <c r="H98" s="470">
        <f>IF(A98="","",Data!V102)</f>
        <v>69.995000000000005</v>
      </c>
      <c r="I98" s="563">
        <f>IF(A98="","",Data!X102)</f>
        <v>364.57900000000001</v>
      </c>
      <c r="J98" s="574">
        <f>IF(A98="","",Data!AA102)</f>
        <v>256</v>
      </c>
      <c r="K98" s="574">
        <f>IF(A98="","",Data!Y102)</f>
        <v>196</v>
      </c>
      <c r="L98" s="574" t="str">
        <f>IF(A98="","",Data!BC102)</f>
        <v>Y</v>
      </c>
      <c r="M98" s="607">
        <f>IF(A98="","",Data!BK102)</f>
        <v>0</v>
      </c>
      <c r="N98" s="608"/>
      <c r="O98" s="578"/>
      <c r="P98" s="469"/>
    </row>
    <row r="99" spans="1:16">
      <c r="A99" s="606" t="str">
        <f>Data!A103</f>
        <v/>
      </c>
      <c r="B99" s="469" t="str">
        <f>IF(A99="","",Data!I103)</f>
        <v/>
      </c>
      <c r="C99" s="574" t="str">
        <f>IF(A99="","",Data!K103)</f>
        <v/>
      </c>
      <c r="D99" s="574" t="str">
        <f>IF(A99="","",Data!O103)</f>
        <v/>
      </c>
      <c r="E99" s="574" t="str">
        <f>IF(A99="","",Data!Q103)</f>
        <v/>
      </c>
      <c r="F99" s="575" t="str">
        <f>IF(A99="","",Data!S103)</f>
        <v/>
      </c>
      <c r="G99" s="576" t="str">
        <f>IF(A99="","",Data!U103)</f>
        <v/>
      </c>
      <c r="H99" s="470" t="str">
        <f>IF(A99="","",Data!V103)</f>
        <v/>
      </c>
      <c r="I99" s="563" t="str">
        <f>IF(A99="","",Data!X103)</f>
        <v/>
      </c>
      <c r="J99" s="574" t="str">
        <f>IF(A99="","",Data!AA103)</f>
        <v/>
      </c>
      <c r="K99" s="574" t="str">
        <f>IF(A99="","",Data!Y103)</f>
        <v/>
      </c>
      <c r="L99" s="574" t="str">
        <f>IF(A99="","",Data!BC103)</f>
        <v/>
      </c>
      <c r="M99" s="607" t="str">
        <f>IF(A99="","",Data!BK103)</f>
        <v/>
      </c>
      <c r="N99" s="608"/>
      <c r="O99" s="578"/>
      <c r="P99" s="469"/>
    </row>
    <row r="100" spans="1:16">
      <c r="A100" s="606" t="str">
        <f>Data!A104</f>
        <v/>
      </c>
      <c r="B100" s="469" t="str">
        <f>IF(A100="","",Data!I104)</f>
        <v/>
      </c>
      <c r="C100" s="574" t="str">
        <f>IF(A100="","",Data!K104)</f>
        <v/>
      </c>
      <c r="D100" s="574" t="str">
        <f>IF(A100="","",Data!O104)</f>
        <v/>
      </c>
      <c r="E100" s="574" t="str">
        <f>IF(A100="","",Data!Q104)</f>
        <v/>
      </c>
      <c r="F100" s="575" t="str">
        <f>IF(A100="","",Data!S104)</f>
        <v/>
      </c>
      <c r="G100" s="576" t="str">
        <f>IF(A100="","",Data!U104)</f>
        <v/>
      </c>
      <c r="H100" s="470" t="str">
        <f>IF(A100="","",Data!V104)</f>
        <v/>
      </c>
      <c r="I100" s="563" t="str">
        <f>IF(A100="","",Data!X104)</f>
        <v/>
      </c>
      <c r="J100" s="574" t="str">
        <f>IF(A100="","",Data!AA104)</f>
        <v/>
      </c>
      <c r="K100" s="574" t="str">
        <f>IF(A100="","",Data!Y104)</f>
        <v/>
      </c>
      <c r="L100" s="574" t="str">
        <f>IF(A100="","",Data!BC104)</f>
        <v/>
      </c>
      <c r="M100" s="607" t="str">
        <f>IF(A100="","",Data!BK104)</f>
        <v/>
      </c>
      <c r="N100" s="608"/>
      <c r="O100" s="578"/>
      <c r="P100" s="469"/>
    </row>
    <row r="101" spans="1:16">
      <c r="A101" s="606" t="str">
        <f>Data!A105</f>
        <v/>
      </c>
      <c r="B101" s="469" t="str">
        <f>IF(A101="","",Data!I105)</f>
        <v/>
      </c>
      <c r="C101" s="574" t="str">
        <f>IF(A101="","",Data!K105)</f>
        <v/>
      </c>
      <c r="D101" s="574" t="str">
        <f>IF(A101="","",Data!O105)</f>
        <v/>
      </c>
      <c r="E101" s="574" t="str">
        <f>IF(A101="","",Data!Q105)</f>
        <v/>
      </c>
      <c r="F101" s="575" t="str">
        <f>IF(A101="","",Data!S105)</f>
        <v/>
      </c>
      <c r="G101" s="576" t="str">
        <f>IF(A101="","",Data!U105)</f>
        <v/>
      </c>
      <c r="H101" s="470" t="str">
        <f>IF(A101="","",Data!V105)</f>
        <v/>
      </c>
      <c r="I101" s="563" t="str">
        <f>IF(A101="","",Data!X105)</f>
        <v/>
      </c>
      <c r="J101" s="574" t="str">
        <f>IF(A101="","",Data!AA105)</f>
        <v/>
      </c>
      <c r="K101" s="574" t="str">
        <f>IF(A101="","",Data!Y105)</f>
        <v/>
      </c>
      <c r="L101" s="574" t="str">
        <f>IF(A101="","",Data!BC105)</f>
        <v/>
      </c>
      <c r="M101" s="607" t="str">
        <f>IF(A101="","",Data!BK105)</f>
        <v/>
      </c>
      <c r="N101" s="608"/>
      <c r="O101" s="578"/>
      <c r="P101" s="469"/>
    </row>
    <row r="102" spans="1:16">
      <c r="A102" s="606" t="str">
        <f>Data!A106</f>
        <v/>
      </c>
      <c r="B102" s="469" t="str">
        <f>IF(A102="","",Data!I106)</f>
        <v/>
      </c>
      <c r="C102" s="574" t="str">
        <f>IF(A102="","",Data!K106)</f>
        <v/>
      </c>
      <c r="D102" s="574" t="str">
        <f>IF(A102="","",Data!O106)</f>
        <v/>
      </c>
      <c r="E102" s="574" t="str">
        <f>IF(A102="","",Data!Q106)</f>
        <v/>
      </c>
      <c r="F102" s="575" t="str">
        <f>IF(A102="","",Data!S106)</f>
        <v/>
      </c>
      <c r="G102" s="576" t="str">
        <f>IF(A102="","",Data!U106)</f>
        <v/>
      </c>
      <c r="H102" s="470" t="str">
        <f>IF(A102="","",Data!V106)</f>
        <v/>
      </c>
      <c r="I102" s="563" t="str">
        <f>IF(A102="","",Data!X106)</f>
        <v/>
      </c>
      <c r="J102" s="574" t="str">
        <f>IF(A102="","",Data!AA106)</f>
        <v/>
      </c>
      <c r="K102" s="574" t="str">
        <f>IF(A102="","",Data!Y106)</f>
        <v/>
      </c>
      <c r="L102" s="574" t="str">
        <f>IF(A102="","",Data!BC106)</f>
        <v/>
      </c>
      <c r="M102" s="607" t="str">
        <f>IF(A102="","",Data!BK106)</f>
        <v/>
      </c>
      <c r="N102" s="608"/>
      <c r="O102" s="578"/>
      <c r="P102" s="469"/>
    </row>
    <row r="103" spans="1:16">
      <c r="A103" s="606" t="str">
        <f>Data!A107</f>
        <v/>
      </c>
      <c r="B103" s="469" t="str">
        <f>IF(A103="","",Data!I107)</f>
        <v/>
      </c>
      <c r="C103" s="574" t="str">
        <f>IF(A103="","",Data!K107)</f>
        <v/>
      </c>
      <c r="D103" s="574" t="str">
        <f>IF(A103="","",Data!O107)</f>
        <v/>
      </c>
      <c r="E103" s="574" t="str">
        <f>IF(A103="","",Data!Q107)</f>
        <v/>
      </c>
      <c r="F103" s="575" t="str">
        <f>IF(A103="","",Data!S107)</f>
        <v/>
      </c>
      <c r="G103" s="576" t="str">
        <f>IF(A103="","",Data!U107)</f>
        <v/>
      </c>
      <c r="H103" s="470" t="str">
        <f>IF(A103="","",Data!V107)</f>
        <v/>
      </c>
      <c r="I103" s="563" t="str">
        <f>IF(A103="","",Data!X107)</f>
        <v/>
      </c>
      <c r="J103" s="574" t="str">
        <f>IF(A103="","",Data!AA107)</f>
        <v/>
      </c>
      <c r="K103" s="574" t="str">
        <f>IF(A103="","",Data!Y107)</f>
        <v/>
      </c>
      <c r="L103" s="574" t="str">
        <f>IF(A103="","",Data!BC107)</f>
        <v/>
      </c>
      <c r="M103" s="607" t="str">
        <f>IF(A103="","",Data!BK107)</f>
        <v/>
      </c>
      <c r="N103" s="608"/>
      <c r="O103" s="578"/>
      <c r="P103" s="469"/>
    </row>
    <row r="104" spans="1:16">
      <c r="A104" s="606">
        <f>Data!A108</f>
        <v>0</v>
      </c>
      <c r="B104" s="469">
        <f>IF(A104="","",Data!I108)</f>
        <v>0</v>
      </c>
      <c r="C104" s="574">
        <f>IF(A104="","",Data!K108)</f>
        <v>0</v>
      </c>
      <c r="D104" s="574">
        <f>IF(A104="","",Data!O108)</f>
        <v>0</v>
      </c>
      <c r="E104" s="574">
        <f>IF(A104="","",Data!Q108)</f>
        <v>0</v>
      </c>
      <c r="F104" s="575">
        <f>IF(A104="","",Data!S108)</f>
        <v>0</v>
      </c>
      <c r="G104" s="576">
        <f>IF(A104="","",Data!U108)</f>
        <v>0</v>
      </c>
      <c r="H104" s="470">
        <f>IF(A104="","",Data!V108)</f>
        <v>0</v>
      </c>
      <c r="I104" s="563">
        <f>IF(A104="","",Data!X108)</f>
        <v>0</v>
      </c>
      <c r="J104" s="574">
        <f>IF(A104="","",Data!AA108)</f>
        <v>0</v>
      </c>
      <c r="K104" s="574">
        <f>IF(A104="","",Data!Y108)</f>
        <v>0</v>
      </c>
      <c r="L104" s="574">
        <f>IF(A104="","",Data!BC108)</f>
        <v>0</v>
      </c>
      <c r="M104" s="607">
        <f>IF(A104="","",Data!BK108)</f>
        <v>0</v>
      </c>
      <c r="N104" s="608"/>
      <c r="O104" s="578"/>
      <c r="P104" s="469"/>
    </row>
    <row r="105" spans="1:16">
      <c r="A105" s="606">
        <f>Data!A109</f>
        <v>0</v>
      </c>
      <c r="B105" s="469">
        <f>IF(A105="","",Data!I109)</f>
        <v>0</v>
      </c>
      <c r="C105" s="574">
        <f>IF(A105="","",Data!K109)</f>
        <v>0</v>
      </c>
      <c r="D105" s="574">
        <f>IF(A105="","",Data!O109)</f>
        <v>0</v>
      </c>
      <c r="E105" s="574">
        <f>IF(A105="","",Data!Q109)</f>
        <v>0</v>
      </c>
      <c r="F105" s="575">
        <f>IF(A105="","",Data!S109)</f>
        <v>0</v>
      </c>
      <c r="G105" s="576">
        <f>IF(A105="","",Data!U109)</f>
        <v>0</v>
      </c>
      <c r="H105" s="470">
        <f>IF(A105="","",Data!V109)</f>
        <v>0</v>
      </c>
      <c r="I105" s="563">
        <f>IF(A105="","",Data!X109)</f>
        <v>0</v>
      </c>
      <c r="J105" s="574">
        <f>IF(A105="","",Data!AA109)</f>
        <v>0</v>
      </c>
      <c r="K105" s="574">
        <f>IF(A105="","",Data!Y109)</f>
        <v>0</v>
      </c>
      <c r="L105" s="574">
        <f>IF(A105="","",Data!BC109)</f>
        <v>0</v>
      </c>
      <c r="M105" s="607">
        <f>IF(A105="","",Data!BK109)</f>
        <v>0</v>
      </c>
      <c r="N105" s="608"/>
      <c r="O105" s="578"/>
      <c r="P105" s="469"/>
    </row>
    <row r="106" spans="1:16">
      <c r="A106" s="606">
        <f>Data!A110</f>
        <v>0</v>
      </c>
      <c r="B106" s="469">
        <f>IF(A106="","",Data!I110)</f>
        <v>0</v>
      </c>
      <c r="C106" s="574">
        <f>IF(A106="","",Data!K110)</f>
        <v>0</v>
      </c>
      <c r="D106" s="574">
        <f>IF(A106="","",Data!O110)</f>
        <v>0</v>
      </c>
      <c r="E106" s="574">
        <f>IF(A106="","",Data!Q110)</f>
        <v>0</v>
      </c>
      <c r="F106" s="575">
        <f>IF(A106="","",Data!S110)</f>
        <v>0</v>
      </c>
      <c r="G106" s="576">
        <f>IF(A106="","",Data!U110)</f>
        <v>0</v>
      </c>
      <c r="H106" s="470">
        <f>IF(A106="","",Data!V110)</f>
        <v>0</v>
      </c>
      <c r="I106" s="563">
        <f>IF(A106="","",Data!X110)</f>
        <v>0</v>
      </c>
      <c r="J106" s="574">
        <f>IF(A106="","",Data!AA110)</f>
        <v>0</v>
      </c>
      <c r="K106" s="574">
        <f>IF(A106="","",Data!Y110)</f>
        <v>0</v>
      </c>
      <c r="L106" s="574">
        <f>IF(A106="","",Data!BC110)</f>
        <v>0</v>
      </c>
      <c r="M106" s="607">
        <f>IF(A106="","",Data!BK110)</f>
        <v>0</v>
      </c>
      <c r="N106" s="608"/>
      <c r="O106" s="578"/>
      <c r="P106" s="469"/>
    </row>
    <row r="107" spans="1:16">
      <c r="A107" s="606">
        <f>Data!A111</f>
        <v>0</v>
      </c>
      <c r="B107" s="469">
        <f>IF(A107="","",Data!I111)</f>
        <v>0</v>
      </c>
      <c r="C107" s="574">
        <f>IF(A107="","",Data!K111)</f>
        <v>0</v>
      </c>
      <c r="D107" s="574">
        <f>IF(A107="","",Data!O111)</f>
        <v>0</v>
      </c>
      <c r="E107" s="574">
        <f>IF(A107="","",Data!Q111)</f>
        <v>0</v>
      </c>
      <c r="F107" s="575">
        <f>IF(A107="","",Data!S111)</f>
        <v>0</v>
      </c>
      <c r="G107" s="576">
        <f>IF(A107="","",Data!U111)</f>
        <v>0</v>
      </c>
      <c r="H107" s="470">
        <f>IF(A107="","",Data!V111)</f>
        <v>0</v>
      </c>
      <c r="I107" s="563">
        <f>IF(A107="","",Data!X111)</f>
        <v>0</v>
      </c>
      <c r="J107" s="574">
        <f>IF(A107="","",Data!AA111)</f>
        <v>0</v>
      </c>
      <c r="K107" s="574">
        <f>IF(A107="","",Data!Y111)</f>
        <v>0</v>
      </c>
      <c r="L107" s="574">
        <f>IF(A107="","",Data!BC111)</f>
        <v>0</v>
      </c>
      <c r="M107" s="607">
        <f>IF(A107="","",Data!BK111)</f>
        <v>0</v>
      </c>
      <c r="N107" s="608"/>
      <c r="O107" s="578"/>
      <c r="P107" s="469"/>
    </row>
    <row r="108" spans="1:16">
      <c r="A108" s="606">
        <f>Data!A112</f>
        <v>0</v>
      </c>
      <c r="B108" s="469">
        <f>IF(A108="","",Data!I112)</f>
        <v>0</v>
      </c>
      <c r="C108" s="574">
        <f>IF(A108="","",Data!K112)</f>
        <v>0</v>
      </c>
      <c r="D108" s="574">
        <f>IF(A108="","",Data!O112)</f>
        <v>0</v>
      </c>
      <c r="E108" s="574">
        <f>IF(A108="","",Data!Q112)</f>
        <v>0</v>
      </c>
      <c r="F108" s="575">
        <f>IF(A108="","",Data!S112)</f>
        <v>0</v>
      </c>
      <c r="G108" s="576">
        <f>IF(A108="","",Data!U112)</f>
        <v>0</v>
      </c>
      <c r="H108" s="470">
        <f>IF(A108="","",Data!V112)</f>
        <v>0</v>
      </c>
      <c r="I108" s="563">
        <f>IF(A108="","",Data!X112)</f>
        <v>0</v>
      </c>
      <c r="J108" s="574">
        <f>IF(A108="","",Data!AA112)</f>
        <v>0</v>
      </c>
      <c r="K108" s="574">
        <f>IF(A108="","",Data!Y112)</f>
        <v>0</v>
      </c>
      <c r="L108" s="574">
        <f>IF(A108="","",Data!BC112)</f>
        <v>0</v>
      </c>
      <c r="M108" s="607">
        <f>IF(A108="","",Data!BK112)</f>
        <v>0</v>
      </c>
      <c r="N108" s="608"/>
      <c r="O108" s="578"/>
      <c r="P108" s="469"/>
    </row>
    <row r="109" spans="1:16">
      <c r="A109" s="606">
        <f>Data!A113</f>
        <v>0</v>
      </c>
      <c r="B109" s="469">
        <f>IF(A109="","",Data!I113)</f>
        <v>0</v>
      </c>
      <c r="C109" s="574">
        <f>IF(A109="","",Data!K113)</f>
        <v>0</v>
      </c>
      <c r="D109" s="574">
        <f>IF(A109="","",Data!O113)</f>
        <v>0</v>
      </c>
      <c r="E109" s="574">
        <f>IF(A109="","",Data!Q113)</f>
        <v>0</v>
      </c>
      <c r="F109" s="575">
        <f>IF(A109="","",Data!S113)</f>
        <v>0</v>
      </c>
      <c r="G109" s="576">
        <f>IF(A109="","",Data!U113)</f>
        <v>0</v>
      </c>
      <c r="H109" s="470">
        <f>IF(A109="","",Data!V113)</f>
        <v>0</v>
      </c>
      <c r="I109" s="563">
        <f>IF(A109="","",Data!X113)</f>
        <v>0</v>
      </c>
      <c r="J109" s="574">
        <f>IF(A109="","",Data!AA113)</f>
        <v>0</v>
      </c>
      <c r="K109" s="574">
        <f>IF(A109="","",Data!Y113)</f>
        <v>0</v>
      </c>
      <c r="L109" s="574">
        <f>IF(A109="","",Data!BC113)</f>
        <v>0</v>
      </c>
      <c r="M109" s="607">
        <f>IF(A109="","",Data!BK113)</f>
        <v>0</v>
      </c>
      <c r="N109" s="608"/>
      <c r="O109" s="578"/>
      <c r="P109" s="469"/>
    </row>
    <row r="110" spans="1:16">
      <c r="A110" s="606">
        <f>Data!A114</f>
        <v>0</v>
      </c>
      <c r="B110" s="469">
        <f>IF(A110="","",Data!I114)</f>
        <v>0</v>
      </c>
      <c r="C110" s="574">
        <f>IF(A110="","",Data!K114)</f>
        <v>0</v>
      </c>
      <c r="D110" s="574">
        <f>IF(A110="","",Data!O114)</f>
        <v>0</v>
      </c>
      <c r="E110" s="574">
        <f>IF(A110="","",Data!Q114)</f>
        <v>0</v>
      </c>
      <c r="F110" s="575">
        <f>IF(A110="","",Data!S114)</f>
        <v>0</v>
      </c>
      <c r="G110" s="576">
        <f>IF(A110="","",Data!U114)</f>
        <v>0</v>
      </c>
      <c r="H110" s="470">
        <f>IF(A110="","",Data!V114)</f>
        <v>0</v>
      </c>
      <c r="I110" s="563">
        <f>IF(A110="","",Data!X114)</f>
        <v>0</v>
      </c>
      <c r="J110" s="574">
        <f>IF(A110="","",Data!AA114)</f>
        <v>0</v>
      </c>
      <c r="K110" s="574">
        <f>IF(A110="","",Data!Y114)</f>
        <v>0</v>
      </c>
      <c r="L110" s="574">
        <f>IF(A110="","",Data!BC114)</f>
        <v>0</v>
      </c>
      <c r="M110" s="607">
        <f>IF(A110="","",Data!BK114)</f>
        <v>0</v>
      </c>
      <c r="N110" s="608"/>
      <c r="O110" s="578"/>
      <c r="P110" s="469"/>
    </row>
    <row r="111" spans="1:16">
      <c r="A111" s="606">
        <f>Data!A115</f>
        <v>0</v>
      </c>
      <c r="B111" s="469">
        <f>IF(A111="","",Data!I115)</f>
        <v>0</v>
      </c>
      <c r="C111" s="574">
        <f>IF(A111="","",Data!K115)</f>
        <v>0</v>
      </c>
      <c r="D111" s="574">
        <f>IF(A111="","",Data!O115)</f>
        <v>0</v>
      </c>
      <c r="E111" s="574">
        <f>IF(A111="","",Data!Q115)</f>
        <v>0</v>
      </c>
      <c r="F111" s="575">
        <f>IF(A111="","",Data!S115)</f>
        <v>0</v>
      </c>
      <c r="G111" s="576">
        <f>IF(A111="","",Data!U115)</f>
        <v>0</v>
      </c>
      <c r="H111" s="470">
        <f>IF(A111="","",Data!V115)</f>
        <v>0</v>
      </c>
      <c r="I111" s="563">
        <f>IF(A111="","",Data!X115)</f>
        <v>0</v>
      </c>
      <c r="J111" s="574">
        <f>IF(A111="","",Data!AA115)</f>
        <v>0</v>
      </c>
      <c r="K111" s="574">
        <f>IF(A111="","",Data!Y115)</f>
        <v>0</v>
      </c>
      <c r="L111" s="574">
        <f>IF(A111="","",Data!BC115)</f>
        <v>0</v>
      </c>
      <c r="M111" s="607">
        <f>IF(A111="","",Data!BK115)</f>
        <v>0</v>
      </c>
      <c r="N111" s="608"/>
      <c r="O111" s="578"/>
      <c r="P111" s="469"/>
    </row>
    <row r="112" spans="1:16">
      <c r="A112" s="606">
        <f>Data!A116</f>
        <v>0</v>
      </c>
      <c r="B112" s="469">
        <f>IF(A112="","",Data!I116)</f>
        <v>0</v>
      </c>
      <c r="C112" s="574">
        <f>IF(A112="","",Data!K116)</f>
        <v>0</v>
      </c>
      <c r="D112" s="574">
        <f>IF(A112="","",Data!O116)</f>
        <v>0</v>
      </c>
      <c r="E112" s="574">
        <f>IF(A112="","",Data!Q116)</f>
        <v>0</v>
      </c>
      <c r="F112" s="575">
        <f>IF(A112="","",Data!S116)</f>
        <v>0</v>
      </c>
      <c r="G112" s="576">
        <f>IF(A112="","",Data!U116)</f>
        <v>0</v>
      </c>
      <c r="H112" s="470">
        <f>IF(A112="","",Data!V116)</f>
        <v>0</v>
      </c>
      <c r="I112" s="563">
        <f>IF(A112="","",Data!X116)</f>
        <v>0</v>
      </c>
      <c r="J112" s="574">
        <f>IF(A112="","",Data!AA116)</f>
        <v>0</v>
      </c>
      <c r="K112" s="574">
        <f>IF(A112="","",Data!Y116)</f>
        <v>0</v>
      </c>
      <c r="L112" s="574">
        <f>IF(A112="","",Data!BC116)</f>
        <v>0</v>
      </c>
      <c r="M112" s="607">
        <f>IF(A112="","",Data!BK116)</f>
        <v>0</v>
      </c>
      <c r="N112" s="608"/>
      <c r="O112" s="578"/>
      <c r="P112" s="469"/>
    </row>
    <row r="113" spans="1:16">
      <c r="A113" s="606">
        <f>Data!A117</f>
        <v>0</v>
      </c>
      <c r="B113" s="469">
        <f>IF(A113="","",Data!I117)</f>
        <v>0</v>
      </c>
      <c r="C113" s="574">
        <f>IF(A113="","",Data!K117)</f>
        <v>0</v>
      </c>
      <c r="D113" s="574">
        <f>IF(A113="","",Data!O117)</f>
        <v>0</v>
      </c>
      <c r="E113" s="574">
        <f>IF(A113="","",Data!Q117)</f>
        <v>0</v>
      </c>
      <c r="F113" s="575">
        <f>IF(A113="","",Data!S117)</f>
        <v>0</v>
      </c>
      <c r="G113" s="576">
        <f>IF(A113="","",Data!U117)</f>
        <v>0</v>
      </c>
      <c r="H113" s="470">
        <f>IF(A113="","",Data!V117)</f>
        <v>0</v>
      </c>
      <c r="I113" s="563">
        <f>IF(A113="","",Data!X117)</f>
        <v>0</v>
      </c>
      <c r="J113" s="574">
        <f>IF(A113="","",Data!AA117)</f>
        <v>0</v>
      </c>
      <c r="K113" s="574">
        <f>IF(A113="","",Data!Y117)</f>
        <v>0</v>
      </c>
      <c r="L113" s="574">
        <f>IF(A113="","",Data!BC117)</f>
        <v>0</v>
      </c>
      <c r="M113" s="607">
        <f>IF(A113="","",Data!BK117)</f>
        <v>0</v>
      </c>
      <c r="N113" s="608"/>
      <c r="O113" s="578"/>
      <c r="P113" s="469"/>
    </row>
    <row r="114" spans="1:16">
      <c r="A114" s="606">
        <f>Data!A118</f>
        <v>0</v>
      </c>
      <c r="B114" s="469">
        <f>IF(A114="","",Data!I118)</f>
        <v>0</v>
      </c>
      <c r="C114" s="574">
        <f>IF(A114="","",Data!K118)</f>
        <v>0</v>
      </c>
      <c r="D114" s="574">
        <f>IF(A114="","",Data!O118)</f>
        <v>0</v>
      </c>
      <c r="E114" s="574">
        <f>IF(A114="","",Data!Q118)</f>
        <v>0</v>
      </c>
      <c r="F114" s="575">
        <f>IF(A114="","",Data!S118)</f>
        <v>0</v>
      </c>
      <c r="G114" s="576">
        <f>IF(A114="","",Data!U118)</f>
        <v>0</v>
      </c>
      <c r="H114" s="470">
        <f>IF(A114="","",Data!V118)</f>
        <v>0</v>
      </c>
      <c r="I114" s="563">
        <f>IF(A114="","",Data!X118)</f>
        <v>0</v>
      </c>
      <c r="J114" s="574">
        <f>IF(A114="","",Data!AA118)</f>
        <v>0</v>
      </c>
      <c r="K114" s="574">
        <f>IF(A114="","",Data!Y118)</f>
        <v>0</v>
      </c>
      <c r="L114" s="574">
        <f>IF(A114="","",Data!BC118)</f>
        <v>0</v>
      </c>
      <c r="M114" s="607">
        <f>IF(A114="","",Data!BK118)</f>
        <v>0</v>
      </c>
      <c r="N114" s="608"/>
      <c r="O114" s="578"/>
      <c r="P114" s="469"/>
    </row>
    <row r="115" spans="1:16">
      <c r="A115" s="606">
        <f>Data!A119</f>
        <v>0</v>
      </c>
      <c r="B115" s="469">
        <f>IF(A115="","",Data!I119)</f>
        <v>0</v>
      </c>
      <c r="C115" s="574">
        <f>IF(A115="","",Data!K119)</f>
        <v>0</v>
      </c>
      <c r="D115" s="574">
        <f>IF(A115="","",Data!O119)</f>
        <v>0</v>
      </c>
      <c r="E115" s="574">
        <f>IF(A115="","",Data!Q119)</f>
        <v>0</v>
      </c>
      <c r="F115" s="575">
        <f>IF(A115="","",Data!S119)</f>
        <v>0</v>
      </c>
      <c r="G115" s="576">
        <f>IF(A115="","",Data!U119)</f>
        <v>0</v>
      </c>
      <c r="H115" s="470">
        <f>IF(A115="","",Data!V119)</f>
        <v>0</v>
      </c>
      <c r="I115" s="563">
        <f>IF(A115="","",Data!X119)</f>
        <v>0</v>
      </c>
      <c r="J115" s="574">
        <f>IF(A115="","",Data!AA119)</f>
        <v>0</v>
      </c>
      <c r="K115" s="574">
        <f>IF(A115="","",Data!Y119)</f>
        <v>0</v>
      </c>
      <c r="L115" s="574">
        <f>IF(A115="","",Data!BC119)</f>
        <v>0</v>
      </c>
      <c r="M115" s="607">
        <f>IF(A115="","",Data!BK119)</f>
        <v>0</v>
      </c>
      <c r="N115" s="608"/>
      <c r="O115" s="578"/>
      <c r="P115" s="469"/>
    </row>
    <row r="116" spans="1:16">
      <c r="A116" s="606">
        <f>Data!A120</f>
        <v>0</v>
      </c>
      <c r="B116" s="469">
        <f>IF(A116="","",Data!I120)</f>
        <v>0</v>
      </c>
      <c r="C116" s="574">
        <f>IF(A116="","",Data!K120)</f>
        <v>0</v>
      </c>
      <c r="D116" s="574">
        <f>IF(A116="","",Data!O120)</f>
        <v>0</v>
      </c>
      <c r="E116" s="574">
        <f>IF(A116="","",Data!Q120)</f>
        <v>0</v>
      </c>
      <c r="F116" s="575">
        <f>IF(A116="","",Data!S120)</f>
        <v>0</v>
      </c>
      <c r="G116" s="576">
        <f>IF(A116="","",Data!U120)</f>
        <v>0</v>
      </c>
      <c r="H116" s="470">
        <f>IF(A116="","",Data!V120)</f>
        <v>0</v>
      </c>
      <c r="I116" s="563">
        <f>IF(A116="","",Data!X120)</f>
        <v>0</v>
      </c>
      <c r="J116" s="574">
        <f>IF(A116="","",Data!AA120)</f>
        <v>0</v>
      </c>
      <c r="K116" s="574">
        <f>IF(A116="","",Data!Y120)</f>
        <v>0</v>
      </c>
      <c r="L116" s="574">
        <f>IF(A116="","",Data!BC120)</f>
        <v>0</v>
      </c>
      <c r="M116" s="607">
        <f>IF(A116="","",Data!BK120)</f>
        <v>0</v>
      </c>
      <c r="N116" s="608"/>
      <c r="O116" s="578"/>
      <c r="P116" s="469"/>
    </row>
    <row r="117" spans="1:16">
      <c r="A117" s="606">
        <f>Data!A121</f>
        <v>0</v>
      </c>
      <c r="B117" s="469">
        <f>IF(A117="","",Data!I121)</f>
        <v>0</v>
      </c>
      <c r="C117" s="574">
        <f>IF(A117="","",Data!K121)</f>
        <v>0</v>
      </c>
      <c r="D117" s="574">
        <f>IF(A117="","",Data!O121)</f>
        <v>0</v>
      </c>
      <c r="E117" s="574">
        <f>IF(A117="","",Data!Q121)</f>
        <v>0</v>
      </c>
      <c r="F117" s="575">
        <f>IF(A117="","",Data!S121)</f>
        <v>0</v>
      </c>
      <c r="G117" s="576">
        <f>IF(A117="","",Data!U121)</f>
        <v>0</v>
      </c>
      <c r="H117" s="470">
        <f>IF(A117="","",Data!V121)</f>
        <v>0</v>
      </c>
      <c r="I117" s="563">
        <f>IF(A117="","",Data!X121)</f>
        <v>0</v>
      </c>
      <c r="J117" s="574">
        <f>IF(A117="","",Data!AA121)</f>
        <v>0</v>
      </c>
      <c r="K117" s="574">
        <f>IF(A117="","",Data!Y121)</f>
        <v>0</v>
      </c>
      <c r="L117" s="574">
        <f>IF(A117="","",Data!BC121)</f>
        <v>0</v>
      </c>
      <c r="M117" s="607">
        <f>IF(A117="","",Data!BK121)</f>
        <v>0</v>
      </c>
      <c r="N117" s="608"/>
      <c r="O117" s="578"/>
      <c r="P117" s="469"/>
    </row>
  </sheetData>
  <autoFilter ref="A1:P87" xr:uid="{B190B8F1-22D1-4D4F-8D55-C9F8EE8CD71C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FA5C-901C-8946-A503-6ECD409C68B6}">
  <dimension ref="A1:AZ137"/>
  <sheetViews>
    <sheetView topLeftCell="AD1" zoomScale="140" zoomScaleNormal="140" workbookViewId="0">
      <pane ySplit="1" topLeftCell="A52" activePane="bottomLeft" state="frozen"/>
      <selection activeCell="B1" sqref="B1"/>
      <selection pane="bottomLeft" activeCell="AL52" sqref="AL52:AL53"/>
    </sheetView>
  </sheetViews>
  <sheetFormatPr defaultColWidth="11.42578125" defaultRowHeight="12.75"/>
  <cols>
    <col min="1" max="1" width="5.85546875" style="68" customWidth="1"/>
    <col min="2" max="2" width="31.85546875" style="102" bestFit="1" customWidth="1"/>
    <col min="3" max="3" width="7.28515625" style="102" bestFit="1" customWidth="1"/>
    <col min="4" max="4" width="13.28515625" style="397" bestFit="1" customWidth="1"/>
    <col min="5" max="5" width="16.7109375" style="397" bestFit="1" customWidth="1"/>
    <col min="6" max="6" width="22.85546875" style="68" bestFit="1" customWidth="1"/>
    <col min="7" max="7" width="17.42578125" style="68" bestFit="1" customWidth="1"/>
    <col min="8" max="8" width="14.140625" style="360" bestFit="1" customWidth="1"/>
    <col min="9" max="9" width="12.85546875" style="360" bestFit="1" customWidth="1"/>
    <col min="10" max="10" width="12.7109375" style="471" bestFit="1" customWidth="1"/>
    <col min="11" max="12" width="9.140625" style="471" bestFit="1" customWidth="1"/>
    <col min="13" max="15" width="9.140625" style="471" customWidth="1"/>
    <col min="34" max="34" width="11.85546875" customWidth="1"/>
    <col min="35" max="35" width="14.42578125" customWidth="1"/>
    <col min="36" max="36" width="13.42578125" customWidth="1"/>
    <col min="38" max="38" width="19.85546875" customWidth="1"/>
    <col min="39" max="39" width="19.42578125" customWidth="1"/>
    <col min="40" max="40" width="15.42578125" customWidth="1"/>
    <col min="42" max="42" width="12.7109375" customWidth="1"/>
    <col min="43" max="43" width="14.42578125" customWidth="1"/>
    <col min="44" max="44" width="16.140625" customWidth="1"/>
    <col min="45" max="45" width="14.42578125" customWidth="1"/>
    <col min="46" max="46" width="19.140625" customWidth="1"/>
    <col min="47" max="47" width="19.28515625" customWidth="1"/>
  </cols>
  <sheetData>
    <row r="1" spans="1:31" s="404" customFormat="1" ht="39.75">
      <c r="A1" s="403" t="s">
        <v>201</v>
      </c>
      <c r="B1" s="402" t="s">
        <v>8</v>
      </c>
      <c r="C1" s="402" t="s">
        <v>9</v>
      </c>
      <c r="D1" s="405" t="s">
        <v>202</v>
      </c>
      <c r="E1" s="405" t="s">
        <v>185</v>
      </c>
      <c r="F1" s="403" t="s">
        <v>203</v>
      </c>
      <c r="G1" s="406" t="s">
        <v>204</v>
      </c>
      <c r="H1" s="533" t="s">
        <v>205</v>
      </c>
      <c r="I1" s="539" t="s">
        <v>206</v>
      </c>
      <c r="J1" s="540" t="s">
        <v>207</v>
      </c>
      <c r="K1" s="540" t="s">
        <v>208</v>
      </c>
      <c r="L1" s="540" t="s">
        <v>209</v>
      </c>
      <c r="M1" s="540" t="s">
        <v>210</v>
      </c>
      <c r="N1" s="540" t="s">
        <v>211</v>
      </c>
      <c r="O1" s="540" t="s">
        <v>212</v>
      </c>
      <c r="P1" s="543"/>
      <c r="Q1" s="543"/>
      <c r="R1" s="543"/>
      <c r="S1" s="543"/>
      <c r="T1" s="543"/>
      <c r="U1" s="543"/>
      <c r="V1" s="543"/>
      <c r="W1" s="543"/>
      <c r="X1" s="543"/>
      <c r="Y1" s="543"/>
      <c r="Z1" s="543"/>
      <c r="AA1" s="543"/>
      <c r="AB1" s="543"/>
      <c r="AC1" s="543"/>
      <c r="AD1" s="543"/>
      <c r="AE1" s="543"/>
    </row>
    <row r="2" spans="1:31">
      <c r="A2" s="90">
        <v>1</v>
      </c>
      <c r="B2" s="98" t="str">
        <f>IF(Data!$B6="","",IF(Data!AB6="Polymer",Data!A6,"Not Polymer"))</f>
        <v>Not Polymer</v>
      </c>
      <c r="C2" s="532">
        <f>IF(B2="","",Data!B6)</f>
        <v>43837</v>
      </c>
      <c r="D2" s="399" t="str">
        <f>IF(Data!$B6="","",IF(Data!AB6="Polymer",Data!S6,"-"))</f>
        <v>-</v>
      </c>
      <c r="E2" s="399" t="str">
        <f>IF(Data!$B6="","",IF(Data!AB6="Polymer",Data!I6,"-"))</f>
        <v>-</v>
      </c>
      <c r="F2" s="90" t="str">
        <f>IF(Data!$B6="","",IF(Data!AB6="Polymer",Data!AE6,"-"))</f>
        <v>-</v>
      </c>
      <c r="G2" s="401" t="str">
        <f>IF(Data!$B6="","",IF(Data!AB6="Polymer",IF(OR(Data!AP6="N/R",Data!AP6=""),"N/R",Data!AP6*1000),"-"))</f>
        <v>-</v>
      </c>
      <c r="H2" s="408" t="str">
        <f>IF(Data!$B6="","",IF(Data!AB6="Polymer",IF(OR(D2="N/R",D2=""),"N/R",D2/1000),"-"))</f>
        <v>-</v>
      </c>
      <c r="I2" s="541" t="str">
        <f>IF(Data!$B6="","",IF(Data!AB6="Polymer",IF(OR(Data!T6="N/R",Data!T6=""),"N/R",Data!T6/1000),"-"))</f>
        <v>-</v>
      </c>
      <c r="J2" s="542" t="str">
        <f>IF(Data!$B6="","",IF(Data!AB6="Polymer",IF(OR(Measurements!P3="N/R",Measurements!P3=""),"N/R",Measurements!P3),"-"))</f>
        <v>-</v>
      </c>
      <c r="K2" s="542" t="str">
        <f>IF(Data!$B6="","",IF(Data!AB6="Polymer",IF(OR(Measurements!Q3="N/R",Measurements!Q3=""),"N/R",Measurements!Q3/(10*10)),"-"))</f>
        <v>-</v>
      </c>
      <c r="L2" s="542" t="str">
        <f>IF(Data!$B6="","",IF(Data!AB6="Polymer",IF(OR(Measurements!X3="N/R",Measurements!X3=""),"N/R",Measurements!X3/(10*10)),"-"))</f>
        <v>-</v>
      </c>
      <c r="M2" s="542" t="str">
        <f>IF(Data!$B6="","",IF(Data!AB6="Polymer",IF(OR(Measurements!AI3="N/R",Measurements!AI3=""),"N/R",Measurements!AI3),"-"))</f>
        <v>-</v>
      </c>
      <c r="N2" s="544" t="str">
        <f>IF(Data!$B6="","",IF(Data!AB6="Polymer",IF(OR(Measurements!M3="N/R",Measurements!M3=""),"N/R",Measurements!M3),"-"))</f>
        <v>-</v>
      </c>
      <c r="O2" s="544" t="str">
        <f>IF(Data!$B6="","",IF(Data!AB6="Polymer",IF(OR(J2="N/R",J2=""),"N/R",J2/N2),"-"))</f>
        <v>-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>
      <c r="A3" s="90">
        <v>2</v>
      </c>
      <c r="B3" s="98" t="str">
        <f>IF(Data!$B7="","",IF(Data!AB7="Polymer",Data!A7,"Not Polymer"))</f>
        <v>Not Polymer</v>
      </c>
      <c r="C3" s="532">
        <f>IF(B3="","",Data!B7)</f>
        <v>43838</v>
      </c>
      <c r="D3" s="399" t="str">
        <f>IF(Data!$B7="","",IF(Data!AB7="Polymer",Data!S7,"-"))</f>
        <v>-</v>
      </c>
      <c r="E3" s="399" t="str">
        <f>IF(Data!$B7="","",IF(Data!AB7="Polymer",Data!I7,"-"))</f>
        <v>-</v>
      </c>
      <c r="F3" s="90" t="str">
        <f>IF(Data!$B7="","",IF(Data!AB7="Polymer",Data!AE7,"-"))</f>
        <v>-</v>
      </c>
      <c r="G3" s="401" t="str">
        <f>IF(Data!$B7="","",IF(Data!AB7="Polymer",IF(OR(Data!AP7="N/R",Data!AP7=""),"N/R",Data!AP7*1000),"-"))</f>
        <v>-</v>
      </c>
      <c r="H3" s="408" t="str">
        <f>IF(Data!$B7="","",IF(Data!AB7="Polymer",IF(OR(D3="N/R",D3=""),"N/R",D3/1000),"-"))</f>
        <v>-</v>
      </c>
      <c r="I3" s="541" t="str">
        <f>IF(Data!$B7="","",IF(Data!AB7="Polymer",IF(OR(Data!T7="N/R",Data!T7=""),"N/R",Data!T7/1000),"-"))</f>
        <v>-</v>
      </c>
      <c r="J3" s="542" t="str">
        <f>IF(Data!$B7="","",IF(Data!AB7="Polymer",IF(OR(Measurements!P4="N/R",Measurements!P4=""),"N/R",Measurements!P4),"-"))</f>
        <v>-</v>
      </c>
      <c r="K3" s="542" t="str">
        <f>IF(Data!$B7="","",IF(Data!AB7="Polymer",IF(OR(Measurements!Q4="N/R",Measurements!Q4=""),"N/R",Measurements!Q4/(10*10)),"-"))</f>
        <v>-</v>
      </c>
      <c r="L3" s="542" t="str">
        <f>IF(Data!$B7="","",IF(Data!AB7="Polymer",IF(OR(Measurements!X4="N/R",Measurements!X4=""),"N/R",Measurements!X4/(10*10)),"-"))</f>
        <v>-</v>
      </c>
      <c r="M3" s="542" t="str">
        <f>IF(Data!$B7="","",IF(Data!AB7="Polymer",IF(OR(Measurements!AI4="N/R",Measurements!AI4=""),"N/R",Measurements!AI4),"-"))</f>
        <v>-</v>
      </c>
      <c r="N3" s="544" t="str">
        <f>IF(Data!$B7="","",IF(Data!AB7="Polymer",IF(OR(Measurements!M4="N/R",Measurements!M4=""),"N/R",Measurements!M4),"-"))</f>
        <v>-</v>
      </c>
      <c r="O3" s="544" t="str">
        <f>IF(Data!$B7="","",IF(Data!AB7="Polymer",IF(OR(J3="N/R",J3=""),"N/R",J3/N3),"-"))</f>
        <v>-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>
      <c r="A4" s="90">
        <v>3</v>
      </c>
      <c r="B4" s="98" t="str">
        <f>IF(Data!$B8="","",IF(Data!AB8="Polymer",Data!A8,"Not Polymer"))</f>
        <v>Not Polymer</v>
      </c>
      <c r="C4" s="532">
        <f>IF(B4="","",Data!B8)</f>
        <v>43838</v>
      </c>
      <c r="D4" s="399" t="str">
        <f>IF(Data!$B8="","",IF(Data!AB8="Polymer",Data!S8,"-"))</f>
        <v>-</v>
      </c>
      <c r="E4" s="399" t="str">
        <f>IF(Data!$B8="","",IF(Data!AB8="Polymer",Data!I8,"-"))</f>
        <v>-</v>
      </c>
      <c r="F4" s="90" t="str">
        <f>IF(Data!$B8="","",IF(Data!AB8="Polymer",Data!AE8,"-"))</f>
        <v>-</v>
      </c>
      <c r="G4" s="401" t="str">
        <f>IF(Data!$B8="","",IF(Data!AB8="Polymer",IF(OR(Data!AP8="N/R",Data!AP8=""),"N/R",Data!AP8*1000),"-"))</f>
        <v>-</v>
      </c>
      <c r="H4" s="408" t="str">
        <f>IF(Data!$B8="","",IF(Data!AB8="Polymer",IF(OR(D4="N/R",D4=""),"N/R",D4/1000),"-"))</f>
        <v>-</v>
      </c>
      <c r="I4" s="541" t="str">
        <f>IF(Data!$B8="","",IF(Data!AB8="Polymer",IF(OR(Data!T8="N/R",Data!T8=""),"N/R",Data!T8/1000),"-"))</f>
        <v>-</v>
      </c>
      <c r="J4" s="542" t="str">
        <f>IF(Data!$B8="","",IF(Data!AB8="Polymer",IF(OR(Measurements!P5="N/R",Measurements!P5=""),"N/R",Measurements!P5),"-"))</f>
        <v>-</v>
      </c>
      <c r="K4" s="542" t="str">
        <f>IF(Data!$B8="","",IF(Data!AB8="Polymer",IF(OR(Measurements!Q5="N/R",Measurements!Q5=""),"N/R",Measurements!Q5/(10*10)),"-"))</f>
        <v>-</v>
      </c>
      <c r="L4" s="542" t="str">
        <f>IF(Data!$B8="","",IF(Data!AB8="Polymer",IF(OR(Measurements!X5="N/R",Measurements!X5=""),"N/R",Measurements!X5/(10*10)),"-"))</f>
        <v>-</v>
      </c>
      <c r="M4" s="542" t="str">
        <f>IF(Data!$B8="","",IF(Data!AB8="Polymer",IF(OR(Measurements!AI5="N/R",Measurements!AI5=""),"N/R",Measurements!AI5),"-"))</f>
        <v>-</v>
      </c>
      <c r="N4" s="544" t="str">
        <f>IF(Data!$B8="","",IF(Data!AB8="Polymer",IF(OR(Measurements!M5="N/R",Measurements!M5=""),"N/R",Measurements!M5),"-"))</f>
        <v>-</v>
      </c>
      <c r="O4" s="544" t="str">
        <f>IF(Data!$B8="","",IF(Data!AB8="Polymer",IF(OR(J4="N/R",J4=""),"N/R",J4/N4),"-"))</f>
        <v>-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90">
        <v>4</v>
      </c>
      <c r="B5" s="98" t="str">
        <f>IF(Data!$B9="","",IF(Data!AB9="Polymer",Data!A9,"Not Polymer"))</f>
        <v>Not Polymer</v>
      </c>
      <c r="C5" s="532">
        <f>IF(B5="","",Data!B9)</f>
        <v>43852.430555555555</v>
      </c>
      <c r="D5" s="399" t="str">
        <f>IF(Data!$B9="","",IF(Data!AB9="Polymer",Data!S9,"-"))</f>
        <v>-</v>
      </c>
      <c r="E5" s="399" t="str">
        <f>IF(Data!$B9="","",IF(Data!AB9="Polymer",Data!I9,"-"))</f>
        <v>-</v>
      </c>
      <c r="F5" s="90" t="str">
        <f>IF(Data!$B9="","",IF(Data!AB9="Polymer",Data!AE9,"-"))</f>
        <v>-</v>
      </c>
      <c r="G5" s="401" t="str">
        <f>IF(Data!$B9="","",IF(Data!AB9="Polymer",IF(OR(Data!AP9="N/R",Data!AP9=""),"N/R",Data!AP9*1000),"-"))</f>
        <v>-</v>
      </c>
      <c r="H5" s="408" t="str">
        <f>IF(Data!$B9="","",IF(Data!AB9="Polymer",IF(OR(D5="N/R",D5=""),"N/R",D5/1000),"-"))</f>
        <v>-</v>
      </c>
      <c r="I5" s="541" t="str">
        <f>IF(Data!$B9="","",IF(Data!AB9="Polymer",IF(OR(Data!T9="N/R",Data!T9=""),"N/R",Data!T9/1000),"-"))</f>
        <v>-</v>
      </c>
      <c r="J5" s="542" t="str">
        <f>IF(Data!$B9="","",IF(Data!AB9="Polymer",IF(OR(Measurements!P6="N/R",Measurements!P6=""),"N/R",Measurements!P6),"-"))</f>
        <v>-</v>
      </c>
      <c r="K5" s="542" t="str">
        <f>IF(Data!$B9="","",IF(Data!AB9="Polymer",IF(OR(Measurements!Q6="N/R",Measurements!Q6=""),"N/R",Measurements!Q6/(10*10)),"-"))</f>
        <v>-</v>
      </c>
      <c r="L5" s="542" t="str">
        <f>IF(Data!$B9="","",IF(Data!AB9="Polymer",IF(OR(Measurements!X6="N/R",Measurements!X6=""),"N/R",Measurements!X6/(10*10)),"-"))</f>
        <v>-</v>
      </c>
      <c r="M5" s="542" t="str">
        <f>IF(Data!$B9="","",IF(Data!AB9="Polymer",IF(OR(Measurements!AI6="N/R",Measurements!AI6=""),"N/R",Measurements!AI6),"-"))</f>
        <v>-</v>
      </c>
      <c r="N5" s="544" t="str">
        <f>IF(Data!$B9="","",IF(Data!AB9="Polymer",IF(OR(Measurements!M6="N/R",Measurements!M6=""),"N/R",Measurements!M6),"-"))</f>
        <v>-</v>
      </c>
      <c r="O5" s="544" t="str">
        <f>IF(Data!$B9="","",IF(Data!AB9="Polymer",IF(OR(J5="N/R",J5=""),"N/R",J5/N5),"-"))</f>
        <v>-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90">
        <v>5</v>
      </c>
      <c r="B6" s="98" t="str">
        <f>IF(Data!$B10="","",IF(Data!AB10="Polymer",Data!A10,"Not Polymer"))</f>
        <v>Not Polymer</v>
      </c>
      <c r="C6" s="532">
        <f>IF(B6="","",Data!B10)</f>
        <v>43885.604166666664</v>
      </c>
      <c r="D6" s="399" t="str">
        <f>IF(Data!$B10="","",IF(Data!AB10="Polymer",Data!S10,"-"))</f>
        <v>-</v>
      </c>
      <c r="E6" s="399" t="str">
        <f>IF(Data!$B10="","",IF(Data!AB10="Polymer",Data!I10,"-"))</f>
        <v>-</v>
      </c>
      <c r="F6" s="90" t="str">
        <f>IF(Data!$B10="","",IF(Data!AB10="Polymer",Data!AE10,"-"))</f>
        <v>-</v>
      </c>
      <c r="G6" s="401" t="str">
        <f>IF(Data!$B10="","",IF(Data!AB10="Polymer",IF(OR(Data!AP10="N/R",Data!AP10=""),"N/R",Data!AP10*1000),"-"))</f>
        <v>-</v>
      </c>
      <c r="H6" s="408" t="str">
        <f>IF(Data!$B10="","",IF(Data!AB10="Polymer",IF(OR(D6="N/R",D6=""),"N/R",D6/1000),"-"))</f>
        <v>-</v>
      </c>
      <c r="I6" s="541" t="str">
        <f>IF(Data!$B10="","",IF(Data!AB10="Polymer",IF(OR(Data!T10="N/R",Data!T10=""),"N/R",Data!T10/1000),"-"))</f>
        <v>-</v>
      </c>
      <c r="J6" s="542" t="str">
        <f>IF(Data!$B10="","",IF(Data!AB10="Polymer",IF(OR(Measurements!P7="N/R",Measurements!P7=""),"N/R",Measurements!P7),"-"))</f>
        <v>-</v>
      </c>
      <c r="K6" s="542" t="str">
        <f>IF(Data!$B10="","",IF(Data!AB10="Polymer",IF(OR(Measurements!Q7="N/R",Measurements!Q7=""),"N/R",Measurements!Q7/(10*10)),"-"))</f>
        <v>-</v>
      </c>
      <c r="L6" s="542" t="str">
        <f>IF(Data!$B10="","",IF(Data!AB10="Polymer",IF(OR(Measurements!X7="N/R",Measurements!X7=""),"N/R",Measurements!X7/(10*10)),"-"))</f>
        <v>-</v>
      </c>
      <c r="M6" s="542" t="str">
        <f>IF(Data!$B10="","",IF(Data!AB10="Polymer",IF(OR(Measurements!AI7="N/R",Measurements!AI7=""),"N/R",Measurements!AI7),"-"))</f>
        <v>-</v>
      </c>
      <c r="N6" s="544" t="str">
        <f>IF(Data!$B10="","",IF(Data!AB10="Polymer",IF(OR(Measurements!M7="N/R",Measurements!M7=""),"N/R",Measurements!M7),"-"))</f>
        <v>-</v>
      </c>
      <c r="O6" s="544" t="str">
        <f>IF(Data!$B10="","",IF(Data!AB10="Polymer",IF(OR(J6="N/R",J6=""),"N/R",J6/N6),"-"))</f>
        <v>-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>
      <c r="A7" s="90">
        <v>6</v>
      </c>
      <c r="B7" s="98" t="str">
        <f>IF(Data!$B11="","",IF(Data!AB11="Polymer",Data!A11,"Not Polymer"))</f>
        <v>Not Polymer</v>
      </c>
      <c r="C7" s="532">
        <f>IF(B7="","",Data!B11)</f>
        <v>43886.5</v>
      </c>
      <c r="D7" s="399" t="str">
        <f>IF(Data!$B11="","",IF(Data!AB11="Polymer",Data!S11,"-"))</f>
        <v>-</v>
      </c>
      <c r="E7" s="399" t="str">
        <f>IF(Data!$B11="","",IF(Data!AB11="Polymer",Data!I11,"-"))</f>
        <v>-</v>
      </c>
      <c r="F7" s="90" t="str">
        <f>IF(Data!$B11="","",IF(Data!AB11="Polymer",Data!AE11,"-"))</f>
        <v>-</v>
      </c>
      <c r="G7" s="401" t="str">
        <f>IF(Data!$B11="","",IF(Data!AB11="Polymer",IF(OR(Data!AP11="N/R",Data!AP11=""),"N/R",Data!AP11*1000),"-"))</f>
        <v>-</v>
      </c>
      <c r="H7" s="408" t="str">
        <f>IF(Data!$B11="","",IF(Data!AB11="Polymer",IF(OR(D7="N/R",D7=""),"N/R",D7/1000),"-"))</f>
        <v>-</v>
      </c>
      <c r="I7" s="541" t="str">
        <f>IF(Data!$B11="","",IF(Data!AB11="Polymer",IF(OR(Data!T11="N/R",Data!T11=""),"N/R",Data!T11/1000),"-"))</f>
        <v>-</v>
      </c>
      <c r="J7" s="542" t="str">
        <f>IF(Data!$B11="","",IF(Data!AB11="Polymer",IF(OR(Measurements!P8="N/R",Measurements!P8=""),"N/R",Measurements!P8),"-"))</f>
        <v>-</v>
      </c>
      <c r="K7" s="542" t="str">
        <f>IF(Data!$B11="","",IF(Data!AB11="Polymer",IF(OR(Measurements!Q8="N/R",Measurements!Q8=""),"N/R",Measurements!Q8/(10*10)),"-"))</f>
        <v>-</v>
      </c>
      <c r="L7" s="542" t="str">
        <f>IF(Data!$B11="","",IF(Data!AB11="Polymer",IF(OR(Measurements!X8="N/R",Measurements!X8=""),"N/R",Measurements!X8/(10*10)),"-"))</f>
        <v>-</v>
      </c>
      <c r="M7" s="542" t="str">
        <f>IF(Data!$B11="","",IF(Data!AB11="Polymer",IF(OR(Measurements!AI8="N/R",Measurements!AI8=""),"N/R",Measurements!AI8),"-"))</f>
        <v>-</v>
      </c>
      <c r="N7" s="544" t="str">
        <f>IF(Data!$B11="","",IF(Data!AB11="Polymer",IF(OR(Measurements!M8="N/R",Measurements!M8=""),"N/R",Measurements!M8),"-"))</f>
        <v>-</v>
      </c>
      <c r="O7" s="544" t="str">
        <f>IF(Data!$B11="","",IF(Data!AB11="Polymer",IF(OR(J7="N/R",J7=""),"N/R",J7/N7),"-"))</f>
        <v>-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90">
        <v>7</v>
      </c>
      <c r="B8" s="98" t="str">
        <f>IF(Data!$B12="","",IF(Data!AB12="Polymer",Data!A12,"Not Polymer"))</f>
        <v>Not Polymer</v>
      </c>
      <c r="C8" s="532">
        <f>IF(B8="","",Data!B12)</f>
        <v>43886.703472222223</v>
      </c>
      <c r="D8" s="399" t="str">
        <f>IF(Data!$B12="","",IF(Data!AB12="Polymer",Data!S12,"-"))</f>
        <v>-</v>
      </c>
      <c r="E8" s="399" t="str">
        <f>IF(Data!$B12="","",IF(Data!AB12="Polymer",Data!I12,"-"))</f>
        <v>-</v>
      </c>
      <c r="F8" s="90" t="str">
        <f>IF(Data!$B12="","",IF(Data!AB12="Polymer",Data!AE12,"-"))</f>
        <v>-</v>
      </c>
      <c r="G8" s="401" t="str">
        <f>IF(Data!$B12="","",IF(Data!AB12="Polymer",IF(OR(Data!AP12="N/R",Data!AP12=""),"N/R",Data!AP12*1000),"-"))</f>
        <v>-</v>
      </c>
      <c r="H8" s="408" t="str">
        <f>IF(Data!$B12="","",IF(Data!AB12="Polymer",IF(OR(D8="N/R",D8=""),"N/R",D8/1000),"-"))</f>
        <v>-</v>
      </c>
      <c r="I8" s="541" t="str">
        <f>IF(Data!$B12="","",IF(Data!AB12="Polymer",IF(OR(Data!T12="N/R",Data!T12=""),"N/R",Data!T12/1000),"-"))</f>
        <v>-</v>
      </c>
      <c r="J8" s="542" t="str">
        <f>IF(Data!$B12="","",IF(Data!AB12="Polymer",IF(OR(Measurements!P9="N/R",Measurements!P9=""),"N/R",Measurements!P9),"-"))</f>
        <v>-</v>
      </c>
      <c r="K8" s="542" t="str">
        <f>IF(Data!$B12="","",IF(Data!AB12="Polymer",IF(OR(Measurements!Q9="N/R",Measurements!Q9=""),"N/R",Measurements!Q9/(10*10)),"-"))</f>
        <v>-</v>
      </c>
      <c r="L8" s="542" t="str">
        <f>IF(Data!$B12="","",IF(Data!AB12="Polymer",IF(OR(Measurements!X9="N/R",Measurements!X9=""),"N/R",Measurements!X9/(10*10)),"-"))</f>
        <v>-</v>
      </c>
      <c r="M8" s="542" t="str">
        <f>IF(Data!$B12="","",IF(Data!AB12="Polymer",IF(OR(Measurements!AI9="N/R",Measurements!AI9=""),"N/R",Measurements!AI9),"-"))</f>
        <v>-</v>
      </c>
      <c r="N8" s="544" t="str">
        <f>IF(Data!$B12="","",IF(Data!AB12="Polymer",IF(OR(Measurements!M9="N/R",Measurements!M9=""),"N/R",Measurements!M9),"-"))</f>
        <v>-</v>
      </c>
      <c r="O8" s="544" t="str">
        <f>IF(Data!$B12="","",IF(Data!AB12="Polymer",IF(OR(J8="N/R",J8=""),"N/R",J8/N8),"-"))</f>
        <v>-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>
      <c r="A9" s="90">
        <v>8</v>
      </c>
      <c r="B9" s="98" t="str">
        <f>IF(Data!$B13="","",IF(Data!AB13="Polymer",Data!A13,"Not Polymer"))</f>
        <v>Not Polymer</v>
      </c>
      <c r="C9" s="532">
        <f>IF(B9="","",Data!B13)</f>
        <v>43895.6875</v>
      </c>
      <c r="D9" s="399" t="str">
        <f>IF(Data!$B13="","",IF(Data!AB13="Polymer",Data!S13,"-"))</f>
        <v>-</v>
      </c>
      <c r="E9" s="399" t="str">
        <f>IF(Data!$B13="","",IF(Data!AB13="Polymer",Data!I13,"-"))</f>
        <v>-</v>
      </c>
      <c r="F9" s="90" t="str">
        <f>IF(Data!$B13="","",IF(Data!AB13="Polymer",Data!AE13,"-"))</f>
        <v>-</v>
      </c>
      <c r="G9" s="401" t="str">
        <f>IF(Data!$B13="","",IF(Data!AB13="Polymer",IF(OR(Data!AP13="N/R",Data!AP13=""),"N/R",Data!AP13*1000),"-"))</f>
        <v>-</v>
      </c>
      <c r="H9" s="408" t="str">
        <f>IF(Data!$B13="","",IF(Data!AB13="Polymer",IF(OR(D9="N/R",D9=""),"N/R",D9/1000),"-"))</f>
        <v>-</v>
      </c>
      <c r="I9" s="541" t="str">
        <f>IF(Data!$B13="","",IF(Data!AB13="Polymer",IF(OR(Data!T13="N/R",Data!T13=""),"N/R",Data!T13/1000),"-"))</f>
        <v>-</v>
      </c>
      <c r="J9" s="542" t="str">
        <f>IF(Data!$B13="","",IF(Data!AB13="Polymer",IF(OR(Measurements!P10="N/R",Measurements!P10=""),"N/R",Measurements!P10),"-"))</f>
        <v>-</v>
      </c>
      <c r="K9" s="542" t="str">
        <f>IF(Data!$B13="","",IF(Data!AB13="Polymer",IF(OR(Measurements!Q10="N/R",Measurements!Q10=""),"N/R",Measurements!Q10/(10*10)),"-"))</f>
        <v>-</v>
      </c>
      <c r="L9" s="542" t="str">
        <f>IF(Data!$B13="","",IF(Data!AB13="Polymer",IF(OR(Measurements!X10="N/R",Measurements!X10=""),"N/R",Measurements!X10/(10*10)),"-"))</f>
        <v>-</v>
      </c>
      <c r="M9" s="542" t="str">
        <f>IF(Data!$B13="","",IF(Data!AB13="Polymer",IF(OR(Measurements!AI10="N/R",Measurements!AI10=""),"N/R",Measurements!AI10),"-"))</f>
        <v>-</v>
      </c>
      <c r="N9" s="544" t="str">
        <f>IF(Data!$B13="","",IF(Data!AB13="Polymer",IF(OR(Measurements!M10="N/R",Measurements!M10=""),"N/R",Measurements!M10),"-"))</f>
        <v>-</v>
      </c>
      <c r="O9" s="544" t="str">
        <f>IF(Data!$B13="","",IF(Data!AB13="Polymer",IF(OR(J9="N/R",J9=""),"N/R",J9/N9),"-"))</f>
        <v>-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A10" s="90">
        <v>9</v>
      </c>
      <c r="B10" s="98" t="str">
        <f>IF(Data!$B14="","",IF(Data!AB14="Polymer",Data!A14,"Not Polymer"))</f>
        <v>Not Polymer</v>
      </c>
      <c r="C10" s="532">
        <f>IF(B10="","",Data!B14)</f>
        <v>43903.583333333336</v>
      </c>
      <c r="D10" s="399" t="str">
        <f>IF(Data!$B14="","",IF(Data!AB14="Polymer",Data!S14,"-"))</f>
        <v>-</v>
      </c>
      <c r="E10" s="399" t="str">
        <f>IF(Data!$B14="","",IF(Data!AB14="Polymer",Data!I14,"-"))</f>
        <v>-</v>
      </c>
      <c r="F10" s="90" t="str">
        <f>IF(Data!$B14="","",IF(Data!AB14="Polymer",Data!AE14,"-"))</f>
        <v>-</v>
      </c>
      <c r="G10" s="401" t="str">
        <f>IF(Data!$B14="","",IF(Data!AB14="Polymer",IF(OR(Data!AP14="N/R",Data!AP14=""),"N/R",Data!AP14*1000),"-"))</f>
        <v>-</v>
      </c>
      <c r="H10" s="408" t="str">
        <f>IF(Data!$B14="","",IF(Data!AB14="Polymer",IF(OR(D10="N/R",D10=""),"N/R",D10/1000),"-"))</f>
        <v>-</v>
      </c>
      <c r="I10" s="541" t="str">
        <f>IF(Data!$B14="","",IF(Data!AB14="Polymer",IF(OR(Data!T14="N/R",Data!T14=""),"N/R",Data!T14/1000),"-"))</f>
        <v>-</v>
      </c>
      <c r="J10" s="542" t="str">
        <f>IF(Data!$B14="","",IF(Data!AB14="Polymer",IF(OR(Measurements!P11="N/R",Measurements!P11=""),"N/R",Measurements!P11),"-"))</f>
        <v>-</v>
      </c>
      <c r="K10" s="542" t="str">
        <f>IF(Data!$B14="","",IF(Data!AB14="Polymer",IF(OR(Measurements!Q11="N/R",Measurements!Q11=""),"N/R",Measurements!Q11/(10*10)),"-"))</f>
        <v>-</v>
      </c>
      <c r="L10" s="542" t="str">
        <f>IF(Data!$B14="","",IF(Data!AB14="Polymer",IF(OR(Measurements!X11="N/R",Measurements!X11=""),"N/R",Measurements!X11/(10*10)),"-"))</f>
        <v>-</v>
      </c>
      <c r="M10" s="542" t="str">
        <f>IF(Data!$B14="","",IF(Data!AB14="Polymer",IF(OR(Measurements!AI11="N/R",Measurements!AI11=""),"N/R",Measurements!AI11),"-"))</f>
        <v>-</v>
      </c>
      <c r="N10" s="544" t="str">
        <f>IF(Data!$B14="","",IF(Data!AB14="Polymer",IF(OR(Measurements!M11="N/R",Measurements!M11=""),"N/R",Measurements!M11),"-"))</f>
        <v>-</v>
      </c>
      <c r="O10" s="544" t="str">
        <f>IF(Data!$B14="","",IF(Data!AB14="Polymer",IF(OR(J10="N/R",J10=""),"N/R",J10/N10),"-"))</f>
        <v>-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>
      <c r="A11" s="90">
        <v>10</v>
      </c>
      <c r="B11" s="98" t="str">
        <f>IF(Data!$B15="","",IF(Data!AB15="Polymer",Data!A15,"Not Polymer"))</f>
        <v>Not Polymer</v>
      </c>
      <c r="C11" s="532">
        <f>IF(B11="","",Data!B15)</f>
        <v>43906.982638888891</v>
      </c>
      <c r="D11" s="399" t="str">
        <f>IF(Data!$B15="","",IF(Data!AB15="Polymer",Data!S15,"-"))</f>
        <v>-</v>
      </c>
      <c r="E11" s="399" t="str">
        <f>IF(Data!$B15="","",IF(Data!AB15="Polymer",Data!I15,"-"))</f>
        <v>-</v>
      </c>
      <c r="F11" s="90" t="str">
        <f>IF(Data!$B15="","",IF(Data!AB15="Polymer",Data!AE15,"-"))</f>
        <v>-</v>
      </c>
      <c r="G11" s="401" t="str">
        <f>IF(Data!$B15="","",IF(Data!AB15="Polymer",IF(OR(Data!AP15="N/R",Data!AP15=""),"N/R",Data!AP15*1000),"-"))</f>
        <v>-</v>
      </c>
      <c r="H11" s="408" t="str">
        <f>IF(Data!$B15="","",IF(Data!AB15="Polymer",IF(OR(D11="N/R",D11=""),"N/R",D11/1000),"-"))</f>
        <v>-</v>
      </c>
      <c r="I11" s="541" t="str">
        <f>IF(Data!$B15="","",IF(Data!AB15="Polymer",IF(OR(Data!T15="N/R",Data!T15=""),"N/R",Data!T15/1000),"-"))</f>
        <v>-</v>
      </c>
      <c r="J11" s="542" t="str">
        <f>IF(Data!$B15="","",IF(Data!AB15="Polymer",IF(OR(Measurements!P12="N/R",Measurements!P12=""),"N/R",Measurements!P12),"-"))</f>
        <v>-</v>
      </c>
      <c r="K11" s="542" t="str">
        <f>IF(Data!$B15="","",IF(Data!AB15="Polymer",IF(OR(Measurements!Q12="N/R",Measurements!Q12=""),"N/R",Measurements!Q12/(10*10)),"-"))</f>
        <v>-</v>
      </c>
      <c r="L11" s="542" t="str">
        <f>IF(Data!$B15="","",IF(Data!AB15="Polymer",IF(OR(Measurements!X12="N/R",Measurements!X12=""),"N/R",Measurements!X12/(10*10)),"-"))</f>
        <v>-</v>
      </c>
      <c r="M11" s="542" t="str">
        <f>IF(Data!$B15="","",IF(Data!AB15="Polymer",IF(OR(Measurements!AI12="N/R",Measurements!AI12=""),"N/R",Measurements!AI12),"-"))</f>
        <v>-</v>
      </c>
      <c r="N11" s="544" t="str">
        <f>IF(Data!$B15="","",IF(Data!AB15="Polymer",IF(OR(Measurements!M12="N/R",Measurements!M12=""),"N/R",Measurements!M12),"-"))</f>
        <v>-</v>
      </c>
      <c r="O11" s="544" t="str">
        <f>IF(Data!$B15="","",IF(Data!AB15="Polymer",IF(OR(J11="N/R",J11=""),"N/R",J11/N11),"-"))</f>
        <v>-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>
      <c r="A12" s="90">
        <v>11</v>
      </c>
      <c r="B12" s="98" t="str">
        <f>IF(Data!$B16="","",IF(Data!AB16="Polymer",Data!A16,"Not Polymer"))</f>
        <v>Not Polymer</v>
      </c>
      <c r="C12" s="532">
        <f>IF(B12="","",Data!B16)</f>
        <v>43908.536111111112</v>
      </c>
      <c r="D12" s="399" t="str">
        <f>IF(Data!$B16="","",IF(Data!AB16="Polymer",Data!S16,"-"))</f>
        <v>-</v>
      </c>
      <c r="E12" s="399" t="str">
        <f>IF(Data!$B16="","",IF(Data!AB16="Polymer",Data!I16,"-"))</f>
        <v>-</v>
      </c>
      <c r="F12" s="90" t="str">
        <f>IF(Data!$B16="","",IF(Data!AB16="Polymer",Data!AE16,"-"))</f>
        <v>-</v>
      </c>
      <c r="G12" s="401" t="str">
        <f>IF(Data!$B16="","",IF(Data!AB16="Polymer",IF(OR(Data!AP16="N/R",Data!AP16=""),"N/R",Data!AP16*1000),"-"))</f>
        <v>-</v>
      </c>
      <c r="H12" s="408" t="str">
        <f>IF(Data!$B16="","",IF(Data!AB16="Polymer",IF(OR(D12="N/R",D12=""),"N/R",D12/1000),"-"))</f>
        <v>-</v>
      </c>
      <c r="I12" s="541" t="str">
        <f>IF(Data!$B16="","",IF(Data!AB16="Polymer",IF(OR(Data!T16="N/R",Data!T16=""),"N/R",Data!T16/1000),"-"))</f>
        <v>-</v>
      </c>
      <c r="J12" s="542" t="str">
        <f>IF(Data!$B16="","",IF(Data!AB16="Polymer",IF(OR(Measurements!P13="N/R",Measurements!P13=""),"N/R",Measurements!P13),"-"))</f>
        <v>-</v>
      </c>
      <c r="K12" s="542" t="str">
        <f>IF(Data!$B16="","",IF(Data!AB16="Polymer",IF(OR(Measurements!Q13="N/R",Measurements!Q13=""),"N/R",Measurements!Q13/(10*10)),"-"))</f>
        <v>-</v>
      </c>
      <c r="L12" s="542" t="str">
        <f>IF(Data!$B16="","",IF(Data!AB16="Polymer",IF(OR(Measurements!X13="N/R",Measurements!X13=""),"N/R",Measurements!X13/(10*10)),"-"))</f>
        <v>-</v>
      </c>
      <c r="M12" s="542" t="str">
        <f>IF(Data!$B16="","",IF(Data!AB16="Polymer",IF(OR(Measurements!AI13="N/R",Measurements!AI13=""),"N/R",Measurements!AI13),"-"))</f>
        <v>-</v>
      </c>
      <c r="N12" s="544" t="str">
        <f>IF(Data!$B16="","",IF(Data!AB16="Polymer",IF(OR(Measurements!M13="N/R",Measurements!M13=""),"N/R",Measurements!M13),"-"))</f>
        <v>-</v>
      </c>
      <c r="O12" s="544" t="str">
        <f>IF(Data!$B16="","",IF(Data!AB16="Polymer",IF(OR(J12="N/R",J12=""),"N/R",J12/N12),"-"))</f>
        <v>-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90">
        <v>12</v>
      </c>
      <c r="B13" s="98" t="str">
        <f>IF(Data!$B17="","",IF(Data!AB17="Polymer",Data!A17,"Not Polymer"))</f>
        <v>HVIL001-HDPE-RT-SS-S06.0-0012</v>
      </c>
      <c r="C13" s="532">
        <f>IF(B13="","",Data!B17)</f>
        <v>43908.614583333336</v>
      </c>
      <c r="D13" s="399">
        <f>IF(Data!$B17="","",IF(Data!AB17="Polymer",Data!S17,"-"))</f>
        <v>6060.606060606061</v>
      </c>
      <c r="E13" s="399" t="str">
        <f>IF(Data!$B17="","",IF(Data!AB17="Polymer",Data!I17,"-"))</f>
        <v>Stainless Steel (SS)</v>
      </c>
      <c r="F13" s="90" t="str">
        <f>IF(Data!$B17="","",IF(Data!AB17="Polymer",Data!AE17,"-"))</f>
        <v>HDPE (HDPE)</v>
      </c>
      <c r="G13" s="401">
        <f>IF(Data!$B17="","",IF(Data!AB17="Polymer",IF(OR(Data!AP17="N/R",Data!AP17=""),"N/R",Data!AP17*1000),"-"))</f>
        <v>0.80000000000002292</v>
      </c>
      <c r="H13" s="408">
        <f>IF(Data!$B17="","",IF(Data!AB17="Polymer",IF(OR(D13="N/R",D13=""),"N/R",D13/1000),"-"))</f>
        <v>6.0606060606060606</v>
      </c>
      <c r="I13" s="541" t="str">
        <f>IF(Data!$B17="","",IF(Data!AB17="Polymer",IF(OR(Data!T17="N/R",Data!T17=""),"N/R",Data!T17/1000),"-"))</f>
        <v>N/R</v>
      </c>
      <c r="J13" s="542" t="str">
        <f>IF(Data!$B17="","",IF(Data!AB17="Polymer",IF(OR(Measurements!P14="N/R",Measurements!P14=""),"N/R",Measurements!P14),"-"))</f>
        <v>N/R</v>
      </c>
      <c r="K13" s="542" t="str">
        <f>IF(Data!$B17="","",IF(Data!AB17="Polymer",IF(OR(Measurements!Q14="N/R",Measurements!Q14=""),"N/R",Measurements!Q14/(10*10)),"-"))</f>
        <v>N/R</v>
      </c>
      <c r="L13" s="542" t="str">
        <f>IF(Data!$B17="","",IF(Data!AB17="Polymer",IF(OR(Measurements!X14="N/R",Measurements!X14=""),"N/R",Measurements!X14/(10*10)),"-"))</f>
        <v>N/R</v>
      </c>
      <c r="M13" s="542" t="str">
        <f>IF(Data!$B17="","",IF(Data!AB17="Polymer",IF(OR(Measurements!AI14="N/R",Measurements!AI14=""),"N/R",Measurements!AI14),"-"))</f>
        <v>N/R</v>
      </c>
      <c r="N13" s="544" t="str">
        <f>IF(Data!$B17="","",IF(Data!AB17="Polymer",IF(OR(Measurements!M14="N/R",Measurements!M14=""),"N/R",Measurements!M14),"-"))</f>
        <v>N/R</v>
      </c>
      <c r="O13" s="544" t="str">
        <f>IF(Data!$B17="","",IF(Data!AB17="Polymer",IF(OR(J13="N/R",J13=""),"N/R",J13/N13),"-"))</f>
        <v>N/R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s="90">
        <v>13</v>
      </c>
      <c r="B14" s="98" t="str">
        <f>IF(Data!$B18="","",IF(Data!AB18="Polymer",Data!A18,"Not Polymer"))</f>
        <v>HVIL001-HDPE-RT-SS-S06.0-0013</v>
      </c>
      <c r="C14" s="532">
        <f>IF(B14="","",Data!B18)</f>
        <v>43934.625</v>
      </c>
      <c r="D14" s="399">
        <f>IF(Data!$B18="","",IF(Data!AB18="Polymer",Data!S18,"-"))</f>
        <v>4908.4218554943918</v>
      </c>
      <c r="E14" s="399" t="str">
        <f>IF(Data!$B18="","",IF(Data!AB18="Polymer",Data!I18,"-"))</f>
        <v>Stainless Steel (SS)</v>
      </c>
      <c r="F14" s="90" t="str">
        <f>IF(Data!$B18="","",IF(Data!AB18="Polymer",Data!AE18,"-"))</f>
        <v>HDPE (HDPE)</v>
      </c>
      <c r="G14" s="401" t="str">
        <f>IF(Data!$B18="","",IF(Data!AB18="Polymer",IF(OR(Data!AP18="N/R",Data!AP18=""),"N/R",Data!AP18*1000),"-"))</f>
        <v>N/R</v>
      </c>
      <c r="H14" s="408">
        <f>IF(Data!$B18="","",IF(Data!AB18="Polymer",IF(OR(D14="N/R",D14=""),"N/R",D14/1000),"-"))</f>
        <v>4.9084218554943915</v>
      </c>
      <c r="I14" s="541" t="str">
        <f>IF(Data!$B18="","",IF(Data!AB18="Polymer",IF(OR(Data!T18="N/R",Data!T18=""),"N/R",Data!T18/1000),"-"))</f>
        <v>N/R</v>
      </c>
      <c r="J14" s="542" t="str">
        <f>IF(Data!$B18="","",IF(Data!AB18="Polymer",IF(OR(Measurements!P15="N/R",Measurements!P15=""),"N/R",Measurements!P15),"-"))</f>
        <v>N/R</v>
      </c>
      <c r="K14" s="542" t="str">
        <f>IF(Data!$B18="","",IF(Data!AB18="Polymer",IF(OR(Measurements!Q15="N/R",Measurements!Q15=""),"N/R",Measurements!Q15/(10*10)),"-"))</f>
        <v>N/R</v>
      </c>
      <c r="L14" s="542" t="str">
        <f>IF(Data!$B18="","",IF(Data!AB18="Polymer",IF(OR(Measurements!X15="N/R",Measurements!X15=""),"N/R",Measurements!X15/(10*10)),"-"))</f>
        <v>N/R</v>
      </c>
      <c r="M14" s="542" t="str">
        <f>IF(Data!$B18="","",IF(Data!AB18="Polymer",IF(OR(Measurements!AI15="N/R",Measurements!AI15=""),"N/R",Measurements!AI15),"-"))</f>
        <v>N/R</v>
      </c>
      <c r="N14" s="544" t="str">
        <f>IF(Data!$B18="","",IF(Data!AB18="Polymer",IF(OR(Measurements!M15="N/R",Measurements!M15=""),"N/R",Measurements!M15),"-"))</f>
        <v>N/R</v>
      </c>
      <c r="O14" s="544" t="str">
        <f>IF(Data!$B18="","",IF(Data!AB18="Polymer",IF(OR(J14="N/R",J14=""),"N/R",J14/N14),"-"))</f>
        <v>N/R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90">
        <v>14</v>
      </c>
      <c r="B15" s="98" t="str">
        <f>IF(Data!$B19="","",IF(Data!AB19="Polymer",Data!A19,"Not Polymer"))</f>
        <v>HVIL001-HDPE-RT-PC-C12.7-0014</v>
      </c>
      <c r="C15" s="532">
        <f>IF(B15="","",Data!B19)</f>
        <v>43934.708333333336</v>
      </c>
      <c r="D15" s="399">
        <f>IF(Data!$B19="","",IF(Data!AB19="Polymer",Data!S19,"-"))</f>
        <v>6498.8549667434099</v>
      </c>
      <c r="E15" s="399" t="str">
        <f>IF(Data!$B19="","",IF(Data!AB19="Polymer",Data!I19,"-"))</f>
        <v>Polycarbonate (PC)</v>
      </c>
      <c r="F15" s="90" t="str">
        <f>IF(Data!$B19="","",IF(Data!AB19="Polymer",Data!AE19,"-"))</f>
        <v>HDPE (HDPE)</v>
      </c>
      <c r="G15" s="401" t="str">
        <f>IF(Data!$B19="","",IF(Data!AB19="Polymer",IF(OR(Data!AP19="N/R",Data!AP19=""),"N/R",Data!AP19*1000),"-"))</f>
        <v>N/R</v>
      </c>
      <c r="H15" s="408">
        <f>IF(Data!$B19="","",IF(Data!AB19="Polymer",IF(OR(D15="N/R",D15=""),"N/R",D15/1000),"-"))</f>
        <v>6.4988549667434103</v>
      </c>
      <c r="I15" s="541" t="str">
        <f>IF(Data!$B19="","",IF(Data!AB19="Polymer",IF(OR(Data!T19="N/R",Data!T19=""),"N/R",Data!T19/1000),"-"))</f>
        <v>N/R</v>
      </c>
      <c r="J15" s="542">
        <f>IF(Data!$B19="","",IF(Data!AB19="Polymer",IF(OR(Measurements!P16="N/R",Measurements!P16=""),"N/R",Measurements!P16),"-"))</f>
        <v>36.299999999999997</v>
      </c>
      <c r="K15" s="542">
        <f>IF(Data!$B19="","",IF(Data!AB19="Polymer",IF(OR(Measurements!Q16="N/R",Measurements!Q16=""),"N/R",Measurements!Q16/(10*10)),"-"))</f>
        <v>10.263574529999998</v>
      </c>
      <c r="L15" s="542">
        <f>IF(Data!$B19="","",IF(Data!AB19="Polymer",IF(OR(Measurements!X16="N/R",Measurements!X16=""),"N/R",Measurements!X16/(10*10)),"-"))</f>
        <v>16.081485050999998</v>
      </c>
      <c r="M15" s="542">
        <f>IF(Data!$B19="","",IF(Data!AB19="Polymer",IF(OR(Measurements!AI16="N/R",Measurements!AI16=""),"N/R",Measurements!AI16),"-"))</f>
        <v>6.7625000000000002</v>
      </c>
      <c r="N15" s="544">
        <f>IF(Data!$B19="","",IF(Data!AB19="Polymer",IF(OR(Measurements!M16="N/R",Measurements!M16=""),"N/R",Measurements!M16),"-"))</f>
        <v>6.4049999999999994</v>
      </c>
      <c r="O15" s="544">
        <f>IF(Data!$B19="","",IF(Data!AB19="Polymer",IF(OR(J15="N/R",J15=""),"N/R",J15/N15),"-"))</f>
        <v>5.6674473067915692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90">
        <v>15</v>
      </c>
      <c r="B16" s="98" t="str">
        <f>IF(Data!$B20="","",IF(Data!AB20="Polymer",Data!A20,"Not Polymer"))</f>
        <v>HVIL001-HDPE-RT-AL-S10.0-0015</v>
      </c>
      <c r="C16" s="532">
        <f>IF(B16="","",Data!B20)</f>
        <v>43936.53125</v>
      </c>
      <c r="D16" s="399">
        <f>IF(Data!$B20="","",IF(Data!AB20="Polymer",Data!S20,"-"))</f>
        <v>4676.4484562552625</v>
      </c>
      <c r="E16" s="399" t="str">
        <f>IF(Data!$B20="","",IF(Data!AB20="Polymer",Data!I20,"-"))</f>
        <v>Aluminum (AL)</v>
      </c>
      <c r="F16" s="90" t="str">
        <f>IF(Data!$B20="","",IF(Data!AB20="Polymer",Data!AE20,"-"))</f>
        <v>HDPE (HDPE)</v>
      </c>
      <c r="G16" s="401" t="str">
        <f>IF(Data!$B20="","",IF(Data!AB20="Polymer",IF(OR(Data!AP20="N/R",Data!AP20=""),"N/R",Data!AP20*1000),"-"))</f>
        <v>N/R</v>
      </c>
      <c r="H16" s="408">
        <f>IF(Data!$B20="","",IF(Data!AB20="Polymer",IF(OR(D16="N/R",D16=""),"N/R",D16/1000),"-"))</f>
        <v>4.6764484562552626</v>
      </c>
      <c r="I16" s="541" t="str">
        <f>IF(Data!$B20="","",IF(Data!AB20="Polymer",IF(OR(Data!T20="N/R",Data!T20=""),"N/R",Data!T20/1000),"-"))</f>
        <v>N/R</v>
      </c>
      <c r="J16" s="542" t="str">
        <f>IF(Data!$B20="","",IF(Data!AB20="Polymer",IF(OR(Measurements!P17="N/R",Measurements!P17=""),"N/R",Measurements!P17),"-"))</f>
        <v>N/R</v>
      </c>
      <c r="K16" s="542" t="str">
        <f>IF(Data!$B20="","",IF(Data!AB20="Polymer",IF(OR(Measurements!Q17="N/R",Measurements!Q17=""),"N/R",Measurements!Q17/(10*10)),"-"))</f>
        <v>N/R</v>
      </c>
      <c r="L16" s="542" t="str">
        <f>IF(Data!$B20="","",IF(Data!AB20="Polymer",IF(OR(Measurements!X17="N/R",Measurements!X17=""),"N/R",Measurements!X17/(10*10)),"-"))</f>
        <v>N/R</v>
      </c>
      <c r="M16" s="542" t="str">
        <f>IF(Data!$B20="","",IF(Data!AB20="Polymer",IF(OR(Measurements!AI17="N/R",Measurements!AI17=""),"N/R",Measurements!AI17),"-"))</f>
        <v>N/R</v>
      </c>
      <c r="N16" s="544" t="str">
        <f>IF(Data!$B20="","",IF(Data!AB20="Polymer",IF(OR(Measurements!M17="N/R",Measurements!M17=""),"N/R",Measurements!M17),"-"))</f>
        <v>N/R</v>
      </c>
      <c r="O16" s="544" t="str">
        <f>IF(Data!$B20="","",IF(Data!AB20="Polymer",IF(OR(J16="N/R",J16=""),"N/R",J16/N16),"-"))</f>
        <v>N/R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90">
        <v>16</v>
      </c>
      <c r="B17" s="98" t="str">
        <f>IF(Data!$B21="","",IF(Data!AB21="Polymer",Data!A21,"Not Polymer"))</f>
        <v>HVIL001-HDPE-RT-AL-S10.0-0016</v>
      </c>
      <c r="C17" s="532">
        <f>IF(B17="","",Data!B21)</f>
        <v>43936.604166666664</v>
      </c>
      <c r="D17" s="399">
        <f>IF(Data!$B21="","",IF(Data!AB21="Polymer",Data!S21,"-"))</f>
        <v>5206.9860256991833</v>
      </c>
      <c r="E17" s="399" t="str">
        <f>IF(Data!$B21="","",IF(Data!AB21="Polymer",Data!I21,"-"))</f>
        <v>Aluminum (AL)</v>
      </c>
      <c r="F17" s="90" t="str">
        <f>IF(Data!$B21="","",IF(Data!AB21="Polymer",Data!AE21,"-"))</f>
        <v>HDPE (HDPE)</v>
      </c>
      <c r="G17" s="401">
        <f>IF(Data!$B21="","",IF(Data!AB21="Polymer",IF(OR(Data!AP21="N/R",Data!AP21=""),"N/R",Data!AP21*1000),"-"))</f>
        <v>3.8400000000000656</v>
      </c>
      <c r="H17" s="408">
        <f>IF(Data!$B21="","",IF(Data!AB21="Polymer",IF(OR(D17="N/R",D17=""),"N/R",D17/1000),"-"))</f>
        <v>5.2069860256991829</v>
      </c>
      <c r="I17" s="541" t="str">
        <f>IF(Data!$B21="","",IF(Data!AB21="Polymer",IF(OR(Data!T21="N/R",Data!T21=""),"N/R",Data!T21/1000),"-"))</f>
        <v>N/R</v>
      </c>
      <c r="J17" s="542">
        <f>IF(Data!$B21="","",IF(Data!AB21="Polymer",IF(OR(Measurements!P18="N/R",Measurements!P18=""),"N/R",Measurements!P18),"-"))</f>
        <v>30.5</v>
      </c>
      <c r="K17" s="542">
        <f>IF(Data!$B21="","",IF(Data!AB21="Polymer",IF(OR(Measurements!Q18="N/R",Measurements!Q18=""),"N/R",Measurements!Q18/(10*10)),"-"))</f>
        <v>7.2582509962500001</v>
      </c>
      <c r="L17" s="542">
        <f>IF(Data!$B21="","",IF(Data!AB21="Polymer",IF(OR(Measurements!X18="N/R",Measurements!X18=""),"N/R",Measurements!X18/(10*10)),"-"))</f>
        <v>12.660764779500003</v>
      </c>
      <c r="M17" s="542">
        <f>IF(Data!$B21="","",IF(Data!AB21="Polymer",IF(OR(Measurements!AI18="N/R",Measurements!AI18=""),"N/R",Measurements!AI18),"-"))</f>
        <v>6.0750000000000002</v>
      </c>
      <c r="N17" s="544">
        <f>IF(Data!$B21="","",IF(Data!AB21="Polymer",IF(OR(Measurements!M18="N/R",Measurements!M18=""),"N/R",Measurements!M18),"-"))</f>
        <v>6.34</v>
      </c>
      <c r="O17" s="544">
        <f>IF(Data!$B21="","",IF(Data!AB21="Polymer",IF(OR(J17="N/R",J17=""),"N/R",J17/N17),"-"))</f>
        <v>4.8107255520504735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90">
        <v>17</v>
      </c>
      <c r="B18" s="98" t="str">
        <f>IF(Data!$B22="","",IF(Data!AB22="Polymer",Data!A22,"Not Polymer"))</f>
        <v>HVIL001-UHMWPE-RT-AL-S10.0-0017</v>
      </c>
      <c r="C18" s="532">
        <f>IF(B18="","",Data!B22)</f>
        <v>43942.569444444445</v>
      </c>
      <c r="D18" s="399">
        <f>IF(Data!$B22="","",IF(Data!AB22="Polymer",Data!S22,"-"))</f>
        <v>4859.8626214034184</v>
      </c>
      <c r="E18" s="399" t="str">
        <f>IF(Data!$B22="","",IF(Data!AB22="Polymer",Data!I22,"-"))</f>
        <v>Aluminum (AL)</v>
      </c>
      <c r="F18" s="90" t="str">
        <f>IF(Data!$B22="","",IF(Data!AB22="Polymer",Data!AE22,"-"))</f>
        <v>UHMWPE (UHMWPE)</v>
      </c>
      <c r="G18" s="401">
        <f>IF(Data!$B22="","",IF(Data!AB22="Polymer",IF(OR(Data!AP22="N/R",Data!AP22=""),"N/R",Data!AP22*1000),"-"))</f>
        <v>31.999999999999918</v>
      </c>
      <c r="H18" s="408">
        <f>IF(Data!$B22="","",IF(Data!AB22="Polymer",IF(OR(D18="N/R",D18=""),"N/R",D18/1000),"-"))</f>
        <v>4.8598626214034182</v>
      </c>
      <c r="I18" s="541" t="str">
        <f>IF(Data!$B22="","",IF(Data!AB22="Polymer",IF(OR(Data!T22="N/R",Data!T22=""),"N/R",Data!T22/1000),"-"))</f>
        <v>N/R</v>
      </c>
      <c r="J18" s="542">
        <f>IF(Data!$B22="","",IF(Data!AB22="Polymer",IF(OR(Measurements!P19="N/R",Measurements!P19=""),"N/R",Measurements!P19),"-"))</f>
        <v>21</v>
      </c>
      <c r="K18" s="542">
        <f>IF(Data!$B22="","",IF(Data!AB22="Polymer",IF(OR(Measurements!Q19="N/R",Measurements!Q19=""),"N/R",Measurements!Q19/(10*10)),"-"))</f>
        <v>3.3646428899999994</v>
      </c>
      <c r="L18" s="542">
        <f>IF(Data!$B22="","",IF(Data!AB22="Polymer",IF(OR(Measurements!X19="N/R",Measurements!X19=""),"N/R",Measurements!X19/(10*10)),"-"))</f>
        <v>11.58045051825</v>
      </c>
      <c r="M18" s="542">
        <f>IF(Data!$B22="","",IF(Data!AB22="Polymer",IF(OR(Measurements!AI19="N/R",Measurements!AI19=""),"N/R",Measurements!AI19),"-"))</f>
        <v>3.9375</v>
      </c>
      <c r="N18" s="544">
        <f>IF(Data!$B22="","",IF(Data!AB22="Polymer",IF(OR(Measurements!M19="N/R",Measurements!M19=""),"N/R",Measurements!M19),"-"))</f>
        <v>6.6875000000000009</v>
      </c>
      <c r="O18" s="544">
        <f>IF(Data!$B22="","",IF(Data!AB22="Polymer",IF(OR(J18="N/R",J18=""),"N/R",J18/N18),"-"))</f>
        <v>3.1401869158878499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90">
        <v>18</v>
      </c>
      <c r="B19" s="98" t="str">
        <f>IF(Data!$B23="","",IF(Data!AB23="Polymer",Data!A23,"Not Polymer"))</f>
        <v>HVIL001-HDPE-RT-AL-S10.0-0018</v>
      </c>
      <c r="C19" s="532">
        <f>IF(B19="","",Data!B23)</f>
        <v>43942.71875</v>
      </c>
      <c r="D19" s="538" t="s">
        <v>68</v>
      </c>
      <c r="E19" s="399" t="str">
        <f>IF(Data!$B23="","",IF(Data!AB23="Polymer",Data!I23,"-"))</f>
        <v>Aluminum (AL)</v>
      </c>
      <c r="F19" s="90" t="str">
        <f>IF(Data!$B23="","",IF(Data!AB23="Polymer",Data!AE23,"-"))</f>
        <v>HDPE (HDPE)</v>
      </c>
      <c r="G19" s="401" t="str">
        <f>IF(Data!$B23="","",IF(Data!AB23="Polymer",IF(OR(Data!AP23="N/R",Data!AP23=""),"N/R",Data!AP23*1000),"-"))</f>
        <v>N/R</v>
      </c>
      <c r="H19" s="408" t="str">
        <f>IF(Data!$B23="","",IF(Data!AB23="Polymer",IF(OR(D19="N/R",D19=""),"N/R",D19/1000),"-"))</f>
        <v>N/R</v>
      </c>
      <c r="I19" s="541" t="str">
        <f>IF(Data!$B23="","",IF(Data!AB23="Polymer",IF(OR(Data!T23="N/R",Data!T23=""),"N/R",Data!T23/1000),"-"))</f>
        <v>N/R</v>
      </c>
      <c r="J19" s="542">
        <f>IF(Data!$B23="","",IF(Data!AB23="Polymer",IF(OR(Measurements!P20="N/R",Measurements!P20=""),"N/R",Measurements!P20),"-"))</f>
        <v>30.4</v>
      </c>
      <c r="K19" s="542">
        <f>IF(Data!$B23="","",IF(Data!AB23="Polymer",IF(OR(Measurements!Q20="N/R",Measurements!Q20=""),"N/R",Measurements!Q20/(10*10)),"-"))</f>
        <v>7.2344534520000003</v>
      </c>
      <c r="L19" s="542">
        <f>IF(Data!$B23="","",IF(Data!AB23="Polymer",IF(OR(Measurements!X20="N/R",Measurements!X20=""),"N/R",Measurements!X20/(10*10)),"-"))</f>
        <v>11.671792247500001</v>
      </c>
      <c r="M19" s="542">
        <f>IF(Data!$B23="","",IF(Data!AB23="Polymer",IF(OR(Measurements!AI20="N/R",Measurements!AI20=""),"N/R",Measurements!AI20),"-"))</f>
        <v>5.9337499999999999</v>
      </c>
      <c r="N19" s="544">
        <f>IF(Data!$B23="","",IF(Data!AB23="Polymer",IF(OR(Measurements!M20="N/R",Measurements!M20=""),"N/R",Measurements!M20),"-"))</f>
        <v>6.42</v>
      </c>
      <c r="O19" s="544">
        <f>IF(Data!$B23="","",IF(Data!AB23="Polymer",IF(OR(J19="N/R",J19=""),"N/R",J19/N19),"-"))</f>
        <v>4.7352024922118376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90">
        <v>19</v>
      </c>
      <c r="B20" s="98" t="str">
        <f>IF(Data!$B24="","",IF(Data!AB24="Polymer",Data!A24,"Not Polymer"))</f>
        <v>HVIL001-UHMWPE-RT-AL-S10.0-0019</v>
      </c>
      <c r="C20" s="532">
        <f>IF(B20="","",Data!B24)</f>
        <v>43944.548611111109</v>
      </c>
      <c r="D20" s="399">
        <f>IF(Data!$B24="","",IF(Data!AB24="Polymer",Data!S24,"-"))</f>
        <v>5404.5498310843977</v>
      </c>
      <c r="E20" s="399" t="str">
        <f>IF(Data!$B24="","",IF(Data!AB24="Polymer",Data!I24,"-"))</f>
        <v>Aluminum (AL)</v>
      </c>
      <c r="F20" s="90" t="str">
        <f>IF(Data!$B24="","",IF(Data!AB24="Polymer",Data!AE24,"-"))</f>
        <v>UHMWPE (UHMWPE)</v>
      </c>
      <c r="G20" s="401">
        <f>IF(Data!$B24="","",IF(Data!AB24="Polymer",IF(OR(Data!AP24="N/R",Data!AP24=""),"N/R",Data!AP24*1000),"-"))</f>
        <v>6.0000000000000053</v>
      </c>
      <c r="H20" s="408">
        <f>IF(Data!$B24="","",IF(Data!AB24="Polymer",IF(OR(D20="N/R",D20=""),"N/R",D20/1000),"-"))</f>
        <v>5.404549831084398</v>
      </c>
      <c r="I20" s="541" t="str">
        <f>IF(Data!$B24="","",IF(Data!AB24="Polymer",IF(OR(Data!T24="N/R",Data!T24=""),"N/R",Data!T24/1000),"-"))</f>
        <v>N/R</v>
      </c>
      <c r="J20" s="542">
        <f>IF(Data!$B24="","",IF(Data!AB24="Polymer",IF(OR(Measurements!P21="N/R",Measurements!P21=""),"N/R",Measurements!P21),"-"))</f>
        <v>22.4</v>
      </c>
      <c r="K20" s="542">
        <f>IF(Data!$B24="","",IF(Data!AB24="Polymer",IF(OR(Measurements!Q21="N/R",Measurements!Q21=""),"N/R",Measurements!Q21/(10*10)),"-"))</f>
        <v>3.6593240319999993</v>
      </c>
      <c r="L20" s="542">
        <f>IF(Data!$B24="","",IF(Data!AB24="Polymer",IF(OR(Measurements!X21="N/R",Measurements!X21=""),"N/R",Measurements!X21/(10*10)),"-"))</f>
        <v>12.628563481999997</v>
      </c>
      <c r="M20" s="542">
        <f>IF(Data!$B24="","",IF(Data!AB24="Polymer",IF(OR(Measurements!AI21="N/R",Measurements!AI21=""),"N/R",Measurements!AI21),"-"))</f>
        <v>3.3250000000000002</v>
      </c>
      <c r="N20" s="544">
        <f>IF(Data!$B24="","",IF(Data!AB24="Polymer",IF(OR(Measurements!M21="N/R",Measurements!M21=""),"N/R",Measurements!M21),"-"))</f>
        <v>6.7475000000000005</v>
      </c>
      <c r="O20" s="544">
        <f>IF(Data!$B24="","",IF(Data!AB24="Polymer",IF(OR(J20="N/R",J20=""),"N/R",J20/N20),"-"))</f>
        <v>3.3197480548351237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90">
        <v>20</v>
      </c>
      <c r="B21" s="98" t="str">
        <f>IF(Data!$B25="","",IF(Data!AB25="Polymer",Data!A25,"Not Polymer"))</f>
        <v>HVIL001-LAYERP-RT-AL-S10.0-0020</v>
      </c>
      <c r="C21" s="532">
        <f>IF(B21="","",Data!B25)</f>
        <v>43944.65625</v>
      </c>
      <c r="D21" s="399">
        <f>IF(Data!$B25="","",IF(Data!AB25="Polymer",Data!S25,"-"))</f>
        <v>4297.5894462663437</v>
      </c>
      <c r="E21" s="399" t="str">
        <f>IF(Data!$B25="","",IF(Data!AB25="Polymer",Data!I25,"-"))</f>
        <v>Aluminum (AL)</v>
      </c>
      <c r="F21" s="90" t="str">
        <f>IF(Data!$B25="","",IF(Data!AB25="Polymer",Data!AE25,"-"))</f>
        <v>Polymer Layered (LAYERP)</v>
      </c>
      <c r="G21" s="401" t="str">
        <f>IF(Data!$B25="","",IF(Data!AB25="Polymer",IF(OR(Data!AP25="N/R",Data!AP25=""),"N/R",Data!AP25*1000),"-"))</f>
        <v>N/R</v>
      </c>
      <c r="H21" s="408">
        <f>IF(Data!$B25="","",IF(Data!AB25="Polymer",IF(OR(D21="N/R",D21=""),"N/R",D21/1000),"-"))</f>
        <v>4.2975894462663433</v>
      </c>
      <c r="I21" s="541" t="str">
        <f>IF(Data!$B25="","",IF(Data!AB25="Polymer",IF(OR(Data!T25="N/R",Data!T25=""),"N/R",Data!T25/1000),"-"))</f>
        <v>N/R</v>
      </c>
      <c r="J21" s="542" t="str">
        <f>IF(Data!$B25="","",IF(Data!AB25="Polymer",IF(OR(Measurements!P22="N/R",Measurements!P22=""),"N/R",Measurements!P22),"-"))</f>
        <v>N/R</v>
      </c>
      <c r="K21" s="542" t="str">
        <f>IF(Data!$B25="","",IF(Data!AB25="Polymer",IF(OR(Measurements!Q22="N/R",Measurements!Q22=""),"N/R",Measurements!Q22/(10*10)),"-"))</f>
        <v>N/R</v>
      </c>
      <c r="L21" s="542" t="str">
        <f>IF(Data!$B25="","",IF(Data!AB25="Polymer",IF(OR(Measurements!X22="N/R",Measurements!X22=""),"N/R",Measurements!X22/(10*10)),"-"))</f>
        <v>N/R</v>
      </c>
      <c r="M21" s="542" t="str">
        <f>IF(Data!$B25="","",IF(Data!AB25="Polymer",IF(OR(Measurements!AI22="N/R",Measurements!AI22=""),"N/R",Measurements!AI22),"-"))</f>
        <v>N/R</v>
      </c>
      <c r="N21" s="544" t="str">
        <f>IF(Data!$B25="","",IF(Data!AB25="Polymer",IF(OR(Measurements!M22="N/R",Measurements!M22=""),"N/R",Measurements!M22),"-"))</f>
        <v>N/R</v>
      </c>
      <c r="O21" s="544" t="str">
        <f>IF(Data!$B25="","",IF(Data!AB25="Polymer",IF(OR(J21="N/R",J21=""),"N/R",J21/N21),"-"))</f>
        <v>N/R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90">
        <v>21</v>
      </c>
      <c r="B22" s="98" t="str">
        <f>IF(Data!$B26="","",IF(Data!AB26="Polymer",Data!A26,"Not Polymer"))</f>
        <v>HVIL001-HDPE-RT-AL-S10.0-0021</v>
      </c>
      <c r="C22" s="532">
        <f>IF(B22="","",Data!B26)</f>
        <v>43945.520833333336</v>
      </c>
      <c r="D22" s="399">
        <f>IF(Data!$B26="","",IF(Data!AB26="Polymer",Data!S26,"-"))</f>
        <v>5495.5123005410678</v>
      </c>
      <c r="E22" s="399" t="str">
        <f>IF(Data!$B26="","",IF(Data!AB26="Polymer",Data!I26,"-"))</f>
        <v>Aluminum (AL)</v>
      </c>
      <c r="F22" s="90" t="str">
        <f>IF(Data!$B26="","",IF(Data!AB26="Polymer",Data!AE26,"-"))</f>
        <v>HDPE (HDPE)</v>
      </c>
      <c r="G22" s="401">
        <f>IF(Data!$B26="","",IF(Data!AB26="Polymer",IF(OR(Data!AP26="N/R",Data!AP26=""),"N/R",Data!AP26*1000),"-"))</f>
        <v>2.6000000000000467</v>
      </c>
      <c r="H22" s="408">
        <f>IF(Data!$B26="","",IF(Data!AB26="Polymer",IF(OR(D22="N/R",D22=""),"N/R",D22/1000),"-"))</f>
        <v>5.4955123005410682</v>
      </c>
      <c r="I22" s="541" t="str">
        <f>IF(Data!$B26="","",IF(Data!AB26="Polymer",IF(OR(Data!T26="N/R",Data!T26=""),"N/R",Data!T26/1000),"-"))</f>
        <v>N/R</v>
      </c>
      <c r="J22" s="542" t="str">
        <f>IF(Data!$B26="","",IF(Data!AB26="Polymer",IF(OR(Measurements!P23="N/R",Measurements!P23=""),"N/R",Measurements!P23),"-"))</f>
        <v>N/R</v>
      </c>
      <c r="K22" s="542" t="str">
        <f>IF(Data!$B26="","",IF(Data!AB26="Polymer",IF(OR(Measurements!Q23="N/R",Measurements!Q23=""),"N/R",Measurements!Q23/(10*10)),"-"))</f>
        <v>N/R</v>
      </c>
      <c r="L22" s="542" t="str">
        <f>IF(Data!$B26="","",IF(Data!AB26="Polymer",IF(OR(Measurements!X23="N/R",Measurements!X23=""),"N/R",Measurements!X23/(10*10)),"-"))</f>
        <v>N/R</v>
      </c>
      <c r="M22" s="542" t="str">
        <f>IF(Data!$B26="","",IF(Data!AB26="Polymer",IF(OR(Measurements!AI23="N/R",Measurements!AI23=""),"N/R",Measurements!AI23),"-"))</f>
        <v>N/R</v>
      </c>
      <c r="N22" s="544" t="str">
        <f>IF(Data!$B26="","",IF(Data!AB26="Polymer",IF(OR(Measurements!M23="N/R",Measurements!M23=""),"N/R",Measurements!M23),"-"))</f>
        <v>N/R</v>
      </c>
      <c r="O22" s="544" t="str">
        <f>IF(Data!$B26="","",IF(Data!AB26="Polymer",IF(OR(J22="N/R",J22=""),"N/R",J22/N22),"-"))</f>
        <v>N/R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90">
        <v>22</v>
      </c>
      <c r="B23" s="98" t="str">
        <f>IF(Data!$B27="","",IF(Data!AB27="Polymer",Data!A27,"Not Polymer"))</f>
        <v>HVIL001-HDPE-RT-PC-C12.7-0022</v>
      </c>
      <c r="C23" s="532">
        <f>IF(B23="","",Data!B27)</f>
        <v>43945.614583333336</v>
      </c>
      <c r="D23" s="399">
        <f>IF(Data!$B27="","",IF(Data!AB27="Polymer",Data!S27,"-"))</f>
        <v>6663.6856298796647</v>
      </c>
      <c r="E23" s="399" t="str">
        <f>IF(Data!$B27="","",IF(Data!AB27="Polymer",Data!I27,"-"))</f>
        <v>Polycarbonate (PC)</v>
      </c>
      <c r="F23" s="90" t="str">
        <f>IF(Data!$B27="","",IF(Data!AB27="Polymer",Data!AE27,"-"))</f>
        <v>HDPE (HDPE)</v>
      </c>
      <c r="G23" s="401">
        <f>IF(Data!$B27="","",IF(Data!AB27="Polymer",IF(OR(Data!AP27="N/R",Data!AP27=""),"N/R",Data!AP27*1000),"-"))</f>
        <v>4.029999999999978</v>
      </c>
      <c r="H23" s="408">
        <f>IF(Data!$B27="","",IF(Data!AB27="Polymer",IF(OR(D23="N/R",D23=""),"N/R",D23/1000),"-"))</f>
        <v>6.663685629879665</v>
      </c>
      <c r="I23" s="541" t="str">
        <f>IF(Data!$B27="","",IF(Data!AB27="Polymer",IF(OR(Data!T27="N/R",Data!T27=""),"N/R",Data!T27/1000),"-"))</f>
        <v>N/R</v>
      </c>
      <c r="J23" s="542">
        <f>IF(Data!$B27="","",IF(Data!AB27="Polymer",IF(OR(Measurements!P24="N/R",Measurements!P24=""),"N/R",Measurements!P24),"-"))</f>
        <v>36</v>
      </c>
      <c r="K23" s="542">
        <f>IF(Data!$B27="","",IF(Data!AB27="Polymer",IF(OR(Measurements!Q24="N/R",Measurements!Q24=""),"N/R",Measurements!Q24/(10*10)),"-"))</f>
        <v>10.15047729</v>
      </c>
      <c r="L23" s="542">
        <f>IF(Data!$B27="","",IF(Data!AB27="Polymer",IF(OR(Measurements!X24="N/R",Measurements!X24=""),"N/R",Measurements!X24/(10*10)),"-"))</f>
        <v>15.9396422625</v>
      </c>
      <c r="M23" s="542">
        <f>IF(Data!$B27="","",IF(Data!AB27="Polymer",IF(OR(Measurements!AI24="N/R",Measurements!AI24=""),"N/R",Measurements!AI24),"-"))</f>
        <v>6.2050000000000001</v>
      </c>
      <c r="N23" s="544">
        <f>IF(Data!$B27="","",IF(Data!AB27="Polymer",IF(OR(Measurements!M24="N/R",Measurements!M24=""),"N/R",Measurements!M24),"-"))</f>
        <v>6.3650000000000002</v>
      </c>
      <c r="O23" s="544">
        <f>IF(Data!$B27="","",IF(Data!AB27="Polymer",IF(OR(J23="N/R",J23=""),"N/R",J23/N23),"-"))</f>
        <v>5.6559308719560093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90">
        <v>23</v>
      </c>
      <c r="B24" s="98" t="str">
        <f>IF(Data!$B28="","",IF(Data!AB28="Polymer",Data!A28,"Not Polymer"))</f>
        <v>HVIL001-HDPE-RT-AL-S10.0-0023</v>
      </c>
      <c r="C24" s="532">
        <f>IF(B24="","",Data!B28)</f>
        <v>43948.645833333336</v>
      </c>
      <c r="D24" s="399">
        <f>IF(Data!$B28="","",IF(Data!AB28="Polymer",Data!S28,"-"))</f>
        <v>5229.5277194341643</v>
      </c>
      <c r="E24" s="399" t="str">
        <f>IF(Data!$B28="","",IF(Data!AB28="Polymer",Data!I28,"-"))</f>
        <v>Aluminum (AL)</v>
      </c>
      <c r="F24" s="90" t="str">
        <f>IF(Data!$B28="","",IF(Data!AB28="Polymer",Data!AE28,"-"))</f>
        <v>HDPE (HDPE)</v>
      </c>
      <c r="G24" s="401">
        <f>IF(Data!$B28="","",IF(Data!AB28="Polymer",IF(OR(Data!AP28="N/R",Data!AP28=""),"N/R",Data!AP28*1000),"-"))</f>
        <v>4.7000000000000375</v>
      </c>
      <c r="H24" s="408">
        <f>IF(Data!$B28="","",IF(Data!AB28="Polymer",IF(OR(D24="N/R",D24=""),"N/R",D24/1000),"-"))</f>
        <v>5.2295277194341647</v>
      </c>
      <c r="I24" s="541" t="str">
        <f>IF(Data!$B28="","",IF(Data!AB28="Polymer",IF(OR(Data!T28="N/R",Data!T28=""),"N/R",Data!T28/1000),"-"))</f>
        <v>N/R</v>
      </c>
      <c r="J24" s="542">
        <f>IF(Data!$B28="","",IF(Data!AB28="Polymer",IF(OR(Measurements!P25="N/R",Measurements!P25=""),"N/R",Measurements!P25),"-"))</f>
        <v>44</v>
      </c>
      <c r="K24" s="542">
        <f>IF(Data!$B28="","",IF(Data!AB28="Polymer",IF(OR(Measurements!Q25="N/R",Measurements!Q25=""),"N/R",Measurements!Q25/(10*10)),"-"))</f>
        <v>12.095121499999999</v>
      </c>
      <c r="L24" s="542">
        <f>IF(Data!$B28="","",IF(Data!AB28="Polymer",IF(OR(Measurements!X25="N/R",Measurements!X25=""),"N/R",Measurements!X25/(10*10)),"-"))</f>
        <v>18.287823707999998</v>
      </c>
      <c r="M24" s="542">
        <f>IF(Data!$B28="","",IF(Data!AB28="Polymer",IF(OR(Measurements!AI25="N/R",Measurements!AI25=""),"N/R",Measurements!AI25),"-"))</f>
        <v>4.7225000000000001</v>
      </c>
      <c r="N24" s="544">
        <f>IF(Data!$B28="","",IF(Data!AB28="Polymer",IF(OR(Measurements!M25="N/R",Measurements!M25=""),"N/R",Measurements!M25),"-"))</f>
        <v>6.41</v>
      </c>
      <c r="O24" s="544">
        <f>IF(Data!$B28="","",IF(Data!AB28="Polymer",IF(OR(J24="N/R",J24=""),"N/R",J24/N24),"-"))</f>
        <v>6.8642745709828388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90">
        <v>24</v>
      </c>
      <c r="B25" s="98" t="str">
        <f>IF(Data!$B29="","",IF(Data!AB29="Polymer",Data!A29,"Not Polymer"))</f>
        <v>HVIL001-HDPE-RT-AL-S10.0-0024</v>
      </c>
      <c r="C25" s="532">
        <f>IF(B25="","",Data!B29)</f>
        <v>43949.5625</v>
      </c>
      <c r="D25" s="399">
        <f>IF(Data!$B29="","",IF(Data!AB29="Polymer",Data!S29,"-"))</f>
        <v>5342.4595839816038</v>
      </c>
      <c r="E25" s="399" t="str">
        <f>IF(Data!$B29="","",IF(Data!AB29="Polymer",Data!I29,"-"))</f>
        <v>Aluminum (AL)</v>
      </c>
      <c r="F25" s="90" t="str">
        <f>IF(Data!$B29="","",IF(Data!AB29="Polymer",Data!AE29,"-"))</f>
        <v>HDPE (HDPE)</v>
      </c>
      <c r="G25" s="401">
        <f>IF(Data!$B29="","",IF(Data!AB29="Polymer",IF(OR(Data!AP29="N/R",Data!AP29=""),"N/R",Data!AP29*1000),"-"))</f>
        <v>4.530000000000034</v>
      </c>
      <c r="H25" s="408">
        <f>IF(Data!$B29="","",IF(Data!AB29="Polymer",IF(OR(D25="N/R",D25=""),"N/R",D25/1000),"-"))</f>
        <v>5.3424595839816043</v>
      </c>
      <c r="I25" s="541" t="str">
        <f>IF(Data!$B29="","",IF(Data!AB29="Polymer",IF(OR(Data!T29="N/R",Data!T29=""),"N/R",Data!T29/1000),"-"))</f>
        <v>N/R</v>
      </c>
      <c r="J25" s="542">
        <f>IF(Data!$B29="","",IF(Data!AB29="Polymer",IF(OR(Measurements!P26="N/R",Measurements!P26=""),"N/R",Measurements!P26),"-"))</f>
        <v>47.7</v>
      </c>
      <c r="K25" s="542">
        <f>IF(Data!$B29="","",IF(Data!AB29="Polymer",IF(OR(Measurements!Q26="N/R",Measurements!Q26=""),"N/R",Measurements!Q26/(10*10)),"-"))</f>
        <v>12.924893958750001</v>
      </c>
      <c r="L25" s="542">
        <f>IF(Data!$B29="","",IF(Data!AB29="Polymer",IF(OR(Measurements!X26="N/R",Measurements!X26=""),"N/R",Measurements!X26/(10*10)),"-"))</f>
        <v>19.024055324500001</v>
      </c>
      <c r="M25" s="542">
        <f>IF(Data!$B29="","",IF(Data!AB29="Polymer",IF(OR(Measurements!AI26="N/R",Measurements!AI26=""),"N/R",Measurements!AI26),"-"))</f>
        <v>5.1325000000000003</v>
      </c>
      <c r="N25" s="544">
        <f>IF(Data!$B29="","",IF(Data!AB29="Polymer",IF(OR(Measurements!M26="N/R",Measurements!M26=""),"N/R",Measurements!M26),"-"))</f>
        <v>6.3224999999999998</v>
      </c>
      <c r="O25" s="544">
        <f>IF(Data!$B29="","",IF(Data!AB29="Polymer",IF(OR(J25="N/R",J25=""),"N/R",J25/N25),"-"))</f>
        <v>7.5444839857651251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90">
        <v>25</v>
      </c>
      <c r="B26" s="98" t="str">
        <f>IF(Data!$B30="","",IF(Data!AB30="Polymer",Data!A30,"Not Polymer"))</f>
        <v>HVIL001-HDPE-RT-AL-S10.0-0025</v>
      </c>
      <c r="C26" s="532">
        <f>IF(B26="","",Data!B30)</f>
        <v>43955.5625</v>
      </c>
      <c r="D26" s="399">
        <f>IF(Data!$B30="","",IF(Data!AB30="Polymer",Data!S30,"-"))</f>
        <v>4440.2157802782313</v>
      </c>
      <c r="E26" s="399" t="str">
        <f>IF(Data!$B30="","",IF(Data!AB30="Polymer",Data!I30,"-"))</f>
        <v>Aluminum (AL)</v>
      </c>
      <c r="F26" s="90" t="str">
        <f>IF(Data!$B30="","",IF(Data!AB30="Polymer",Data!AE30,"-"))</f>
        <v>HDPE (HDPE)</v>
      </c>
      <c r="G26" s="401">
        <f>IF(Data!$B30="","",IF(Data!AB30="Polymer",IF(OR(Data!AP30="N/R",Data!AP30=""),"N/R",Data!AP30*1000),"-"))</f>
        <v>2.2199999999999998</v>
      </c>
      <c r="H26" s="408">
        <f>IF(Data!$B30="","",IF(Data!AB30="Polymer",IF(OR(D26="N/R",D26=""),"N/R",D26/1000),"-"))</f>
        <v>4.4402157802782316</v>
      </c>
      <c r="I26" s="541" t="str">
        <f>IF(Data!$B30="","",IF(Data!AB30="Polymer",IF(OR(Data!T30="N/R",Data!T30=""),"N/R",Data!T30/1000),"-"))</f>
        <v>N/R</v>
      </c>
      <c r="J26" s="542">
        <f>IF(Data!$B30="","",IF(Data!AB30="Polymer",IF(OR(Measurements!P27="N/R",Measurements!P27=""),"N/R",Measurements!P27),"-"))</f>
        <v>31.2</v>
      </c>
      <c r="K26" s="542">
        <f>IF(Data!$B30="","",IF(Data!AB30="Polymer",IF(OR(Measurements!Q27="N/R",Measurements!Q27=""),"N/R",Measurements!Q27/(10*10)),"-"))</f>
        <v>7.1062765800000003</v>
      </c>
      <c r="L26" s="542">
        <f>IF(Data!$B30="","",IF(Data!AB30="Polymer",IF(OR(Measurements!X27="N/R",Measurements!X27=""),"N/R",Measurements!X27/(10*10)),"-"))</f>
        <v>11.538745911000001</v>
      </c>
      <c r="M26" s="542">
        <f>IF(Data!$B30="","",IF(Data!AB30="Polymer",IF(OR(Measurements!AI27="N/R",Measurements!AI27=""),"N/R",Measurements!AI27),"-"))</f>
        <v>5.3737500000000002</v>
      </c>
      <c r="N26" s="544">
        <f>IF(Data!$B30="","",IF(Data!AB30="Polymer",IF(OR(Measurements!M27="N/R",Measurements!M27=""),"N/R",Measurements!M27),"-"))</f>
        <v>6.4249999999999998</v>
      </c>
      <c r="O26" s="544">
        <f>IF(Data!$B30="","",IF(Data!AB30="Polymer",IF(OR(J26="N/R",J26=""),"N/R",J26/N26),"-"))</f>
        <v>4.8560311284046689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>
      <c r="A27" s="90">
        <v>26</v>
      </c>
      <c r="B27" s="98" t="str">
        <f>IF(Data!$B31="","",IF(Data!AB31="Polymer",Data!A31,"Not Polymer"))</f>
        <v>HVIL001-UHMWPE-RT-RN-C12.7-0026</v>
      </c>
      <c r="C27" s="532">
        <f>IF(B27="","",Data!B31)</f>
        <v>43964.541666666664</v>
      </c>
      <c r="D27" s="399" t="str">
        <f>IF(Data!$B31="","",IF(Data!AB31="Polymer",Data!S31,"-"))</f>
        <v>N/R</v>
      </c>
      <c r="E27" s="399" t="str">
        <f>IF(Data!$B31="","",IF(Data!AB31="Polymer",Data!I31,"-"))</f>
        <v>Resin (RN)</v>
      </c>
      <c r="F27" s="90" t="str">
        <f>IF(Data!$B31="","",IF(Data!AB31="Polymer",Data!AE31,"-"))</f>
        <v>UHMWPE (UHMWPE)</v>
      </c>
      <c r="G27" s="401" t="str">
        <f>IF(Data!$B31="","",IF(Data!AB31="Polymer",IF(OR(Data!AP31="N/R",Data!AP31=""),"N/R",Data!AP31*1000),"-"))</f>
        <v>N/R</v>
      </c>
      <c r="H27" s="408" t="str">
        <f>IF(Data!$B31="","",IF(Data!AB31="Polymer",IF(OR(D27="N/R",D27=""),"N/R",D27/1000),"-"))</f>
        <v>N/R</v>
      </c>
      <c r="I27" s="541" t="str">
        <f>IF(Data!$B31="","",IF(Data!AB31="Polymer",IF(OR(Data!T31="N/R",Data!T31=""),"N/R",Data!T31/1000),"-"))</f>
        <v>N/R</v>
      </c>
      <c r="J27" s="542" t="str">
        <f>IF(Data!$B31="","",IF(Data!AB31="Polymer",IF(OR(Measurements!P28="N/R",Measurements!P28=""),"N/R",Measurements!P28),"-"))</f>
        <v>N/R</v>
      </c>
      <c r="K27" s="542" t="str">
        <f>IF(Data!$B31="","",IF(Data!AB31="Polymer",IF(OR(Measurements!Q28="N/R",Measurements!Q28=""),"N/R",Measurements!Q28/(10*10)),"-"))</f>
        <v>N/R</v>
      </c>
      <c r="L27" s="542" t="str">
        <f>IF(Data!$B31="","",IF(Data!AB31="Polymer",IF(OR(Measurements!X28="N/R",Measurements!X28=""),"N/R",Measurements!X28/(10*10)),"-"))</f>
        <v>N/R</v>
      </c>
      <c r="M27" s="542" t="str">
        <f>IF(Data!$B31="","",IF(Data!AB31="Polymer",IF(OR(Measurements!AI28="N/R",Measurements!AI28=""),"N/R",Measurements!AI28),"-"))</f>
        <v>N/R</v>
      </c>
      <c r="N27" s="544" t="str">
        <f>IF(Data!$B31="","",IF(Data!AB31="Polymer",IF(OR(Measurements!M28="N/R",Measurements!M28=""),"N/R",Measurements!M28),"-"))</f>
        <v>N/R</v>
      </c>
      <c r="O27" s="544" t="str">
        <f>IF(Data!$B31="","",IF(Data!AB31="Polymer",IF(OR(J27="N/R",J27=""),"N/R",J27/N27),"-"))</f>
        <v>N/R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A28" s="90">
        <v>27</v>
      </c>
      <c r="B28" s="98" t="str">
        <f>IF(Data!$B32="","",IF(Data!AB32="Polymer",Data!A32,"Not Polymer"))</f>
        <v>HVIL001-UHMWPE-RT-ST-S10.0-0027</v>
      </c>
      <c r="C28" s="532">
        <f>IF(B28="","",Data!B32)</f>
        <v>43964.604166666664</v>
      </c>
      <c r="D28" s="399">
        <f>IF(Data!$B32="","",IF(Data!AB32="Polymer",Data!S32,"-"))</f>
        <v>4164.9130647283719</v>
      </c>
      <c r="E28" s="399" t="str">
        <f>IF(Data!$B32="","",IF(Data!AB32="Polymer",Data!I32,"-"))</f>
        <v>Steel (ST)</v>
      </c>
      <c r="F28" s="90" t="str">
        <f>IF(Data!$B32="","",IF(Data!AB32="Polymer",Data!AE32,"-"))</f>
        <v>UHMWPE (UHMWPE)</v>
      </c>
      <c r="G28" s="401" t="str">
        <f>IF(Data!$B32="","",IF(Data!AB32="Polymer",IF(OR(Data!AP32="N/R",Data!AP32=""),"N/R",Data!AP32*1000),"-"))</f>
        <v>N/R</v>
      </c>
      <c r="H28" s="408">
        <f>IF(Data!$B32="","",IF(Data!AB32="Polymer",IF(OR(D28="N/R",D28=""),"N/R",D28/1000),"-"))</f>
        <v>4.1649130647283723</v>
      </c>
      <c r="I28" s="541" t="str">
        <f>IF(Data!$B32="","",IF(Data!AB32="Polymer",IF(OR(Data!T32="N/R",Data!T32=""),"N/R",Data!T32/1000),"-"))</f>
        <v>N/R</v>
      </c>
      <c r="J28" s="542" t="str">
        <f>IF(Data!$B32="","",IF(Data!AB32="Polymer",IF(OR(Measurements!P29="N/R",Measurements!P29=""),"N/R",Measurements!P29),"-"))</f>
        <v>N/R</v>
      </c>
      <c r="K28" s="542" t="str">
        <f>IF(Data!$B32="","",IF(Data!AB32="Polymer",IF(OR(Measurements!Q29="N/R",Measurements!Q29=""),"N/R",Measurements!Q29/(10*10)),"-"))</f>
        <v>N/R</v>
      </c>
      <c r="L28" s="542" t="str">
        <f>IF(Data!$B32="","",IF(Data!AB32="Polymer",IF(OR(Measurements!X29="N/R",Measurements!X29=""),"N/R",Measurements!X29/(10*10)),"-"))</f>
        <v>N/R</v>
      </c>
      <c r="M28" s="542" t="str">
        <f>IF(Data!$B32="","",IF(Data!AB32="Polymer",IF(OR(Measurements!AI29="N/R",Measurements!AI29=""),"N/R",Measurements!AI29),"-"))</f>
        <v>N/R</v>
      </c>
      <c r="N28" s="544" t="str">
        <f>IF(Data!$B32="","",IF(Data!AB32="Polymer",IF(OR(Measurements!M29="N/R",Measurements!M29=""),"N/R",Measurements!M29),"-"))</f>
        <v>N/R</v>
      </c>
      <c r="O28" s="544" t="str">
        <f>IF(Data!$B32="","",IF(Data!AB32="Polymer",IF(OR(J28="N/R",J28=""),"N/R",J28/N28),"-"))</f>
        <v>N/R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>
      <c r="A29" s="90">
        <v>28</v>
      </c>
      <c r="B29" s="98" t="str">
        <f>IF(Data!$B33="","",IF(Data!AB33="Polymer",Data!A33,"Not Polymer"))</f>
        <v>HVIL001-UHMWPE-RT-AL-S10.0-0028</v>
      </c>
      <c r="C29" s="532">
        <f>IF(B29="","",Data!B33)</f>
        <v>43965.520833333336</v>
      </c>
      <c r="D29" s="399">
        <f>IF(Data!$B33="","",IF(Data!AB33="Polymer",Data!S33,"-"))</f>
        <v>4664.8052849631586</v>
      </c>
      <c r="E29" s="399" t="str">
        <f>IF(Data!$B33="","",IF(Data!AB33="Polymer",Data!I33,"-"))</f>
        <v>Aluminum (AL)</v>
      </c>
      <c r="F29" s="90" t="str">
        <f>IF(Data!$B33="","",IF(Data!AB33="Polymer",Data!AE33,"-"))</f>
        <v>UHMWPE (UHMWPE)</v>
      </c>
      <c r="G29" s="401">
        <f>IF(Data!$B33="","",IF(Data!AB33="Polymer",IF(OR(Data!AP33="N/R",Data!AP33=""),"N/R",Data!AP33*1000),"-"))</f>
        <v>2.7899999999999592</v>
      </c>
      <c r="H29" s="408">
        <f>IF(Data!$B33="","",IF(Data!AB33="Polymer",IF(OR(D29="N/R",D29=""),"N/R",D29/1000),"-"))</f>
        <v>4.6648052849631583</v>
      </c>
      <c r="I29" s="541">
        <f>IF(Data!$B33="","",IF(Data!AB33="Polymer",IF(OR(Data!T33="N/R",Data!T33=""),"N/R",Data!T33/1000),"-"))</f>
        <v>3.35</v>
      </c>
      <c r="J29" s="542">
        <f>IF(Data!$B33="","",IF(Data!AB33="Polymer",IF(OR(Measurements!P30="N/R",Measurements!P30=""),"N/R",Measurements!P30),"-"))</f>
        <v>20.02</v>
      </c>
      <c r="K29" s="542">
        <f>IF(Data!$B33="","",IF(Data!AB33="Polymer",IF(OR(Measurements!Q30="N/R",Measurements!Q30=""),"N/R",Measurements!Q30/(10*10)),"-"))</f>
        <v>3.1447315900000001</v>
      </c>
      <c r="L29" s="542">
        <f>IF(Data!$B33="","",IF(Data!AB33="Polymer",IF(OR(Measurements!X30="N/R",Measurements!X30=""),"N/R",Measurements!X30/(10*10)),"-"))</f>
        <v>10.633339673</v>
      </c>
      <c r="M29" s="542">
        <f>IF(Data!$B33="","",IF(Data!AB33="Polymer",IF(OR(Measurements!AI30="N/R",Measurements!AI30=""),"N/R",Measurements!AI30),"-"))</f>
        <v>3.0912499999999996</v>
      </c>
      <c r="N29" s="544">
        <f>IF(Data!$B33="","",IF(Data!AB33="Polymer",IF(OR(Measurements!M30="N/R",Measurements!M30=""),"N/R",Measurements!M30),"-"))</f>
        <v>6.6875</v>
      </c>
      <c r="O29" s="544">
        <f>IF(Data!$B33="","",IF(Data!AB33="Polymer",IF(OR(J29="N/R",J29=""),"N/R",J29/N29),"-"))</f>
        <v>2.993644859813084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90">
        <v>29</v>
      </c>
      <c r="B30" s="98" t="str">
        <f>IF(Data!$B34="","",IF(Data!AB34="Polymer",Data!A34,"Not Polymer"))</f>
        <v>HVIL001-UHMWPE-RT-AL-S10.0-0029</v>
      </c>
      <c r="C30" s="532">
        <f>IF(B30="","",Data!B34)</f>
        <v>43969.458333333336</v>
      </c>
      <c r="D30" s="399">
        <f>IF(Data!$B34="","",IF(Data!AB34="Polymer",Data!S34,"-"))</f>
        <v>4937.7005385352468</v>
      </c>
      <c r="E30" s="399" t="str">
        <f>IF(Data!$B34="","",IF(Data!AB34="Polymer",Data!I34,"-"))</f>
        <v>Aluminum (AL)</v>
      </c>
      <c r="F30" s="90" t="str">
        <f>IF(Data!$B34="","",IF(Data!AB34="Polymer",Data!AE34,"-"))</f>
        <v>UHMWPE (UHMWPE)</v>
      </c>
      <c r="G30" s="401">
        <f>IF(Data!$B34="","",IF(Data!AB34="Polymer",IF(OR(Data!AP34="N/R",Data!AP34=""),"N/R",Data!AP34*1000),"-"))</f>
        <v>2.9000000000000137</v>
      </c>
      <c r="H30" s="408">
        <f>IF(Data!$B34="","",IF(Data!AB34="Polymer",IF(OR(D30="N/R",D30=""),"N/R",D30/1000),"-"))</f>
        <v>4.937700538535247</v>
      </c>
      <c r="I30" s="541">
        <f>IF(Data!$B34="","",IF(Data!AB34="Polymer",IF(OR(Data!T34="N/R",Data!T34=""),"N/R",Data!T34/1000),"-"))</f>
        <v>3.7</v>
      </c>
      <c r="J30" s="542">
        <f>IF(Data!$B34="","",IF(Data!AB34="Polymer",IF(OR(Measurements!P31="N/R",Measurements!P31=""),"N/R",Measurements!P31),"-"))</f>
        <v>21.8</v>
      </c>
      <c r="K30" s="542">
        <f>IF(Data!$B34="","",IF(Data!AB34="Polymer",IF(OR(Measurements!Q31="N/R",Measurements!Q31=""),"N/R",Measurements!Q31/(10*10)),"-"))</f>
        <v>3.492819761999999</v>
      </c>
      <c r="L30" s="542">
        <f>IF(Data!$B34="","",IF(Data!AB34="Polymer",IF(OR(Measurements!X31="N/R",Measurements!X31=""),"N/R",Measurements!X31/(10*10)),"-"))</f>
        <v>10.424423938</v>
      </c>
      <c r="M30" s="542">
        <f>IF(Data!$B34="","",IF(Data!AB34="Polymer",IF(OR(Measurements!AI31="N/R",Measurements!AI31=""),"N/R",Measurements!AI31),"-"))</f>
        <v>3.4375</v>
      </c>
      <c r="N30" s="544">
        <f>IF(Data!$B34="","",IF(Data!AB34="Polymer",IF(OR(Measurements!M31="N/R",Measurements!M31=""),"N/R",Measurements!M31),"-"))</f>
        <v>6.6850000000000005</v>
      </c>
      <c r="O30" s="544">
        <f>IF(Data!$B34="","",IF(Data!AB34="Polymer",IF(OR(J30="N/R",J30=""),"N/R",J30/N30),"-"))</f>
        <v>3.2610321615557218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>
      <c r="A31" s="90">
        <v>30</v>
      </c>
      <c r="B31" s="98" t="str">
        <f>IF(Data!$B35="","",IF(Data!AB35="Polymer",Data!A35,"Not Polymer"))</f>
        <v>HVIL001-UHMWPE-RT-AL-S10.0-0030</v>
      </c>
      <c r="C31" s="532">
        <f>IF(B31="","",Data!B35)</f>
        <v>43969.541666666664</v>
      </c>
      <c r="D31" s="399">
        <f>IF(Data!$B35="","",IF(Data!AB35="Polymer",Data!S35,"-"))</f>
        <v>3846.8608794559987</v>
      </c>
      <c r="E31" s="399" t="str">
        <f>IF(Data!$B35="","",IF(Data!AB35="Polymer",Data!I35,"-"))</f>
        <v>Aluminum (AL)</v>
      </c>
      <c r="F31" s="90" t="str">
        <f>IF(Data!$B35="","",IF(Data!AB35="Polymer",Data!AE35,"-"))</f>
        <v>UHMWPE (UHMWPE)</v>
      </c>
      <c r="G31" s="401">
        <f>IF(Data!$B35="","",IF(Data!AB35="Polymer",IF(OR(Data!AP35="N/R",Data!AP35=""),"N/R",Data!AP35*1000),"-"))</f>
        <v>2.4800000000000377</v>
      </c>
      <c r="H31" s="408">
        <f>IF(Data!$B35="","",IF(Data!AB35="Polymer",IF(OR(D31="N/R",D31=""),"N/R",D31/1000),"-"))</f>
        <v>3.8468608794559986</v>
      </c>
      <c r="I31" s="541">
        <f>IF(Data!$B35="","",IF(Data!AB35="Polymer",IF(OR(Data!T35="N/R",Data!T35=""),"N/R",Data!T35/1000),"-"))</f>
        <v>3.06</v>
      </c>
      <c r="J31" s="542">
        <f>IF(Data!$B35="","",IF(Data!AB35="Polymer",IF(OR(Measurements!P32="N/R",Measurements!P32=""),"N/R",Measurements!P32),"-"))</f>
        <v>18.63</v>
      </c>
      <c r="K31" s="542">
        <f>IF(Data!$B35="","",IF(Data!AB35="Polymer",IF(OR(Measurements!Q32="N/R",Measurements!Q32=""),"N/R",Measurements!Q32/(10*10)),"-"))</f>
        <v>2.5576658082899995</v>
      </c>
      <c r="L31" s="542">
        <f>IF(Data!$B35="","",IF(Data!AB35="Polymer",IF(OR(Measurements!X32="N/R",Measurements!X32=""),"N/R",Measurements!X32/(10*10)),"-"))</f>
        <v>8.8888147459999995</v>
      </c>
      <c r="M31" s="542">
        <f>IF(Data!$B35="","",IF(Data!AB35="Polymer",IF(OR(Measurements!AI32="N/R",Measurements!AI32=""),"N/R",Measurements!AI32),"-"))</f>
        <v>2.3925000000000001</v>
      </c>
      <c r="N31" s="544">
        <f>IF(Data!$B35="","",IF(Data!AB35="Polymer",IF(OR(Measurements!M32="N/R",Measurements!M32=""),"N/R",Measurements!M32),"-"))</f>
        <v>6.7275</v>
      </c>
      <c r="O31" s="544">
        <f>IF(Data!$B35="","",IF(Data!AB35="Polymer",IF(OR(J31="N/R",J31=""),"N/R",J31/N31),"-"))</f>
        <v>2.7692307692307692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>
      <c r="A32" s="90">
        <v>31</v>
      </c>
      <c r="B32" s="98" t="str">
        <f>IF(Data!$B36="","",IF(Data!AB36="Polymer",Data!A36,"Not Polymer"))</f>
        <v>HVIL001-UHMWPE-RT-AL-S10.0-0031</v>
      </c>
      <c r="C32" s="532">
        <f>IF(B32="","",Data!B36)</f>
        <v>43969.604166666664</v>
      </c>
      <c r="D32" s="399">
        <f>IF(Data!$B36="","",IF(Data!AB36="Polymer",Data!S36,"-"))</f>
        <v>4091.0324541331852</v>
      </c>
      <c r="E32" s="399" t="str">
        <f>IF(Data!$B36="","",IF(Data!AB36="Polymer",Data!I36,"-"))</f>
        <v>Aluminum (AL)</v>
      </c>
      <c r="F32" s="90" t="str">
        <f>IF(Data!$B36="","",IF(Data!AB36="Polymer",Data!AE36,"-"))</f>
        <v>UHMWPE (UHMWPE)</v>
      </c>
      <c r="G32" s="401">
        <f>IF(Data!$B36="","",IF(Data!AB36="Polymer",IF(OR(Data!AP36="N/R",Data!AP36=""),"N/R",Data!AP36*1000),"-"))</f>
        <v>2.5699999999999612</v>
      </c>
      <c r="H32" s="408">
        <f>IF(Data!$B36="","",IF(Data!AB36="Polymer",IF(OR(D32="N/R",D32=""),"N/R",D32/1000),"-"))</f>
        <v>4.0910324541331855</v>
      </c>
      <c r="I32" s="541">
        <f>IF(Data!$B36="","",IF(Data!AB36="Polymer",IF(OR(Data!T36="N/R",Data!T36=""),"N/R",Data!T36/1000),"-"))</f>
        <v>3.2469999999999999</v>
      </c>
      <c r="J32" s="542">
        <f>IF(Data!$B36="","",IF(Data!AB36="Polymer",IF(OR(Measurements!P33="N/R",Measurements!P33=""),"N/R",Measurements!P33),"-"))</f>
        <v>18.399999999999999</v>
      </c>
      <c r="K32" s="542">
        <f>IF(Data!$B36="","",IF(Data!AB36="Polymer",IF(OR(Measurements!Q33="N/R",Measurements!Q33=""),"N/R",Measurements!Q33/(10*10)),"-"))</f>
        <v>2.4711746940000001</v>
      </c>
      <c r="L32" s="542">
        <f>IF(Data!$B36="","",IF(Data!AB36="Polymer",IF(OR(Measurements!X33="N/R",Measurements!X33=""),"N/R",Measurements!X33/(10*10)),"-"))</f>
        <v>9.3068818352500013</v>
      </c>
      <c r="M32" s="542">
        <f>IF(Data!$B36="","",IF(Data!AB36="Polymer",IF(OR(Measurements!AI33="N/R",Measurements!AI33=""),"N/R",Measurements!AI33),"-"))</f>
        <v>2.6225000000000001</v>
      </c>
      <c r="N32" s="544">
        <f>IF(Data!$B36="","",IF(Data!AB36="Polymer",IF(OR(Measurements!M33="N/R",Measurements!M33=""),"N/R",Measurements!M33),"-"))</f>
        <v>6.7249999999999996</v>
      </c>
      <c r="O32" s="544">
        <f>IF(Data!$B36="","",IF(Data!AB36="Polymer",IF(OR(J32="N/R",J32=""),"N/R",J32/N32),"-"))</f>
        <v>2.7360594795539033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52">
      <c r="A33" s="90">
        <v>32</v>
      </c>
      <c r="B33" s="98" t="str">
        <f>IF(Data!$B37="","",IF(Data!AB37="Polymer",Data!A37,"Not Polymer"))</f>
        <v>HVIL001-UHMWPE-RT-AL-S10.0-0032</v>
      </c>
      <c r="C33" s="532">
        <f>IF(B33="","",Data!B37)</f>
        <v>43970.513888888891</v>
      </c>
      <c r="D33" s="399">
        <f>IF(Data!$B37="","",IF(Data!AB37="Polymer",Data!S37,"-"))</f>
        <v>5615.1510251019718</v>
      </c>
      <c r="E33" s="399" t="str">
        <f>IF(Data!$B37="","",IF(Data!AB37="Polymer",Data!I37,"-"))</f>
        <v>Aluminum (AL)</v>
      </c>
      <c r="F33" s="90" t="str">
        <f>IF(Data!$B37="","",IF(Data!AB37="Polymer",Data!AE37,"-"))</f>
        <v>UHMWPE (UHMWPE)</v>
      </c>
      <c r="G33" s="401">
        <f>IF(Data!$B37="","",IF(Data!AB37="Polymer",IF(OR(Data!AP37="N/R",Data!AP37=""),"N/R",Data!AP37*1000),"-"))</f>
        <v>4.789999999999961</v>
      </c>
      <c r="H33" s="408">
        <f>IF(Data!$B37="","",IF(Data!AB37="Polymer",IF(OR(D33="N/R",D33=""),"N/R",D33/1000),"-"))</f>
        <v>5.6151510251019721</v>
      </c>
      <c r="I33" s="541" t="str">
        <f>IF(Data!$B37="","",IF(Data!AB37="Polymer",IF(OR(Data!T37="N/R",Data!T37=""),"N/R",Data!T37/1000),"-"))</f>
        <v>N/R</v>
      </c>
      <c r="J33" s="542">
        <f>IF(Data!$B37="","",IF(Data!AB37="Polymer",IF(OR(Measurements!P34="N/R",Measurements!P34=""),"N/R",Measurements!P34),"-"))</f>
        <v>27.4</v>
      </c>
      <c r="K33" s="542">
        <f>IF(Data!$B37="","",IF(Data!AB37="Polymer",IF(OR(Measurements!Q34="N/R",Measurements!Q34=""),"N/R",Measurements!Q34/(10*10)),"-"))</f>
        <v>5.4875723325000001</v>
      </c>
      <c r="L33" s="542">
        <f>IF(Data!$B37="","",IF(Data!AB37="Polymer",IF(OR(Measurements!X34="N/R",Measurements!X34=""),"N/R",Measurements!X34/(10*10)),"-"))</f>
        <v>14.10628887825</v>
      </c>
      <c r="M33" s="542">
        <f>IF(Data!$B37="","",IF(Data!AB37="Polymer",IF(OR(Measurements!AI34="N/R",Measurements!AI34=""),"N/R",Measurements!AI34),"-"))</f>
        <v>2.7562500000000001</v>
      </c>
      <c r="N33" s="544">
        <f>IF(Data!$B37="","",IF(Data!AB37="Polymer",IF(OR(Measurements!M34="N/R",Measurements!M34=""),"N/R",Measurements!M34),"-"))</f>
        <v>6.6775000000000002</v>
      </c>
      <c r="O33" s="544">
        <f>IF(Data!$B37="","",IF(Data!AB37="Polymer",IF(OR(J33="N/R",J33=""),"N/R",J33/N33),"-"))</f>
        <v>4.1033320853612878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52">
      <c r="A34" s="90">
        <v>33</v>
      </c>
      <c r="B34" s="98" t="str">
        <f>IF(Data!$B38="","",IF(Data!AB38="Polymer",Data!A38,"Not Polymer"))</f>
        <v>HVIL001-UHMWPE-RT-AL-S10.0-0033</v>
      </c>
      <c r="C34" s="532">
        <f>IF(B34="","",Data!B38)</f>
        <v>43970.583333333336</v>
      </c>
      <c r="D34" s="399">
        <f>IF(Data!$B38="","",IF(Data!AB38="Polymer",Data!S38,"-"))</f>
        <v>5359.3337719292995</v>
      </c>
      <c r="E34" s="399" t="str">
        <f>IF(Data!$B38="","",IF(Data!AB38="Polymer",Data!I38,"-"))</f>
        <v>Aluminum (AL)</v>
      </c>
      <c r="F34" s="90" t="str">
        <f>IF(Data!$B38="","",IF(Data!AB38="Polymer",Data!AE38,"-"))</f>
        <v>UHMWPE (UHMWPE)</v>
      </c>
      <c r="G34" s="401">
        <f>IF(Data!$B38="","",IF(Data!AB38="Polymer",IF(OR(Data!AP38="N/R",Data!AP38=""),"N/R",Data!AP38*1000),"-"))</f>
        <v>3.1799999999999606</v>
      </c>
      <c r="H34" s="408">
        <f>IF(Data!$B38="","",IF(Data!AB38="Polymer",IF(OR(D34="N/R",D34=""),"N/R",D34/1000),"-"))</f>
        <v>5.3593337719292995</v>
      </c>
      <c r="I34" s="541">
        <f>IF(Data!$B38="","",IF(Data!AB38="Polymer",IF(OR(Data!T38="N/R",Data!T38=""),"N/R",Data!T38/1000),"-"))</f>
        <v>4.05</v>
      </c>
      <c r="J34" s="542">
        <f>IF(Data!$B38="","",IF(Data!AB38="Polymer",IF(OR(Measurements!P35="N/R",Measurements!P35=""),"N/R",Measurements!P35),"-"))</f>
        <v>21.9</v>
      </c>
      <c r="K34" s="542">
        <f>IF(Data!$B38="","",IF(Data!AB38="Polymer",IF(OR(Measurements!Q35="N/R",Measurements!Q35=""),"N/R",Measurements!Q35/(10*10)),"-"))</f>
        <v>3.6980441287499999</v>
      </c>
      <c r="L34" s="542">
        <f>IF(Data!$B38="","",IF(Data!AB38="Polymer",IF(OR(Measurements!X35="N/R",Measurements!X35=""),"N/R",Measurements!X35/(10*10)),"-"))</f>
        <v>12.660293540999998</v>
      </c>
      <c r="M34" s="542">
        <f>IF(Data!$B38="","",IF(Data!AB38="Polymer",IF(OR(Measurements!AI35="N/R",Measurements!AI35=""),"N/R",Measurements!AI35),"-"))</f>
        <v>3.5012500000000002</v>
      </c>
      <c r="N34" s="544">
        <f>IF(Data!$B38="","",IF(Data!AB38="Polymer",IF(OR(Measurements!M35="N/R",Measurements!M35=""),"N/R",Measurements!M35),"-"))</f>
        <v>6.7175000000000011</v>
      </c>
      <c r="O34" s="544">
        <f>IF(Data!$B38="","",IF(Data!AB38="Polymer",IF(OR(J34="N/R",J34=""),"N/R",J34/N34),"-"))</f>
        <v>3.260141421659843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52">
      <c r="A35" s="90">
        <v>34</v>
      </c>
      <c r="B35" s="98" t="str">
        <f>IF(Data!$B39="","",IF(Data!AB39="Polymer",Data!A39,"Not Polymer"))</f>
        <v>HVIL001-HDPE-RT-AL-S10.0-0034</v>
      </c>
      <c r="C35" s="532">
        <f>IF(B35="","",Data!B39)</f>
        <v>43979.59375</v>
      </c>
      <c r="D35" s="399">
        <f>IF(Data!$B39="","",IF(Data!AB39="Polymer",Data!S39,"-"))</f>
        <v>4956.4216538924811</v>
      </c>
      <c r="E35" s="399" t="str">
        <f>IF(Data!$B39="","",IF(Data!AB39="Polymer",Data!I39,"-"))</f>
        <v>Aluminum (AL)</v>
      </c>
      <c r="F35" s="90" t="str">
        <f>IF(Data!$B39="","",IF(Data!AB39="Polymer",Data!AE39,"-"))</f>
        <v>HDPE (HDPE)</v>
      </c>
      <c r="G35" s="401">
        <f>IF(Data!$B39="","",IF(Data!AB39="Polymer",IF(OR(Data!AP39="N/R",Data!AP39=""),"N/R",Data!AP39*1000),"-"))</f>
        <v>2.3799999999999377</v>
      </c>
      <c r="H35" s="408">
        <f>IF(Data!$B39="","",IF(Data!AB39="Polymer",IF(OR(D35="N/R",D35=""),"N/R",D35/1000),"-"))</f>
        <v>4.9564216538924812</v>
      </c>
      <c r="I35" s="541" t="str">
        <f>IF(Data!$B39="","",IF(Data!AB39="Polymer",IF(OR(Data!T39="N/R",Data!T39=""),"N/R",Data!T39/1000),"-"))</f>
        <v>N/R</v>
      </c>
      <c r="J35" s="542">
        <f>IF(Data!$B39="","",IF(Data!AB39="Polymer",IF(OR(Measurements!P36="N/R",Measurements!P36=""),"N/R",Measurements!P36),"-"))</f>
        <v>29.98</v>
      </c>
      <c r="K35" s="542">
        <f>IF(Data!$B39="","",IF(Data!AB39="Polymer",IF(OR(Measurements!Q36="N/R",Measurements!Q36=""),"N/R",Measurements!Q36/(10*10)),"-"))</f>
        <v>6.9437794080449997</v>
      </c>
      <c r="L35" s="542">
        <f>IF(Data!$B39="","",IF(Data!AB39="Polymer",IF(OR(Measurements!X36="N/R",Measurements!X36=""),"N/R",Measurements!X36/(10*10)),"-"))</f>
        <v>11.165099333555002</v>
      </c>
      <c r="M35" s="542">
        <f>IF(Data!$B39="","",IF(Data!AB39="Polymer",IF(OR(Measurements!AI36="N/R",Measurements!AI36=""),"N/R",Measurements!AI36),"-"))</f>
        <v>5.8787499999999993</v>
      </c>
      <c r="N35" s="544">
        <f>IF(Data!$B39="","",IF(Data!AB39="Polymer",IF(OR(Measurements!M36="N/R",Measurements!M36=""),"N/R",Measurements!M36),"-"))</f>
        <v>6.3624999999999998</v>
      </c>
      <c r="O35" s="544">
        <f>IF(Data!$B39="","",IF(Data!AB39="Polymer",IF(OR(J35="N/R",J35=""),"N/R",J35/N35),"-"))</f>
        <v>4.7119842829076619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52">
      <c r="A36" s="90">
        <v>35</v>
      </c>
      <c r="B36" s="98" t="str">
        <f>IF(Data!$B40="","",IF(Data!AB40="Polymer",Data!A40,"Not Polymer"))</f>
        <v>HVIL001-UHMWPE-RT-ST-S04.0-0035</v>
      </c>
      <c r="C36" s="532">
        <f>IF(B36="","",Data!B40)</f>
        <v>43980.489583333336</v>
      </c>
      <c r="D36" s="399">
        <f>IF(Data!$B40="","",IF(Data!AB40="Polymer",Data!S40,"-"))</f>
        <v>4486.3310912943552</v>
      </c>
      <c r="E36" s="399" t="str">
        <f>IF(Data!$B40="","",IF(Data!AB40="Polymer",Data!I40,"-"))</f>
        <v>Steel (ST)</v>
      </c>
      <c r="F36" s="90" t="str">
        <f>IF(Data!$B40="","",IF(Data!AB40="Polymer",Data!AE40,"-"))</f>
        <v>UHMWPE (UHMWPE)</v>
      </c>
      <c r="G36" s="401">
        <f>IF(Data!$B40="","",IF(Data!AB40="Polymer",IF(OR(Data!AP40="N/R",Data!AP40=""),"N/R",Data!AP40*1000),"-"))</f>
        <v>0.33000000000005247</v>
      </c>
      <c r="H36" s="408">
        <f>IF(Data!$B40="","",IF(Data!AB40="Polymer",IF(OR(D36="N/R",D36=""),"N/R",D36/1000),"-"))</f>
        <v>4.486331091294355</v>
      </c>
      <c r="I36" s="541" t="str">
        <f>IF(Data!$B40="","",IF(Data!AB40="Polymer",IF(OR(Data!T40="N/R",Data!T40=""),"N/R",Data!T40/1000),"-"))</f>
        <v>N/R</v>
      </c>
      <c r="J36" s="542">
        <f>IF(Data!$B40="","",IF(Data!AB40="Polymer",IF(OR(Measurements!P37="N/R",Measurements!P37=""),"N/R",Measurements!P37),"-"))</f>
        <v>7.29</v>
      </c>
      <c r="K36" s="542">
        <f>IF(Data!$B40="","",IF(Data!AB40="Polymer",IF(OR(Measurements!Q37="N/R",Measurements!Q37=""),"N/R",Measurements!Q37/(10*10)),"-"))</f>
        <v>0.39449024169749997</v>
      </c>
      <c r="L36" s="542">
        <f>IF(Data!$B40="","",IF(Data!AB40="Polymer",IF(OR(Measurements!X37="N/R",Measurements!X37=""),"N/R",Measurements!X37/(10*10)),"-"))</f>
        <v>3.4315571862049996</v>
      </c>
      <c r="M36" s="542">
        <f>IF(Data!$B40="","",IF(Data!AB40="Polymer",IF(OR(Measurements!AI37="N/R",Measurements!AI37=""),"N/R",Measurements!AI37),"-"))</f>
        <v>2.8762500000000002</v>
      </c>
      <c r="N36" s="544">
        <f>IF(Data!$B40="","",IF(Data!AB40="Polymer",IF(OR(Measurements!M37="N/R",Measurements!M37=""),"N/R",Measurements!M37),"-"))</f>
        <v>6.7024999999999997</v>
      </c>
      <c r="O36" s="544">
        <f>IF(Data!$B40="","",IF(Data!AB40="Polymer",IF(OR(J36="N/R",J36=""),"N/R",J36/N36),"-"))</f>
        <v>1.0876538604998136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52">
      <c r="A37" s="90">
        <v>36</v>
      </c>
      <c r="B37" s="98" t="str">
        <f>IF(Data!$B41="","",IF(Data!AB41="Polymer",Data!A41,"Not Polymer"))</f>
        <v>HVIL001-UHMWPE-RT-AL-S10.0-0036</v>
      </c>
      <c r="C37" s="532">
        <f>IF(B37="","",Data!B41)</f>
        <v>43980.572916666664</v>
      </c>
      <c r="D37" s="399">
        <f>IF(Data!$B41="","",IF(Data!AB41="Polymer",Data!S41,"-"))</f>
        <v>5253.377212341612</v>
      </c>
      <c r="E37" s="399" t="str">
        <f>IF(Data!$B41="","",IF(Data!AB41="Polymer",Data!I41,"-"))</f>
        <v>Aluminum (AL)</v>
      </c>
      <c r="F37" s="90" t="str">
        <f>IF(Data!$B41="","",IF(Data!AB41="Polymer",Data!AE41,"-"))</f>
        <v>UHMWPE (UHMWPE)</v>
      </c>
      <c r="G37" s="401">
        <f>IF(Data!$B41="","",IF(Data!AB41="Polymer",IF(OR(Data!AP41="N/R",Data!AP41=""),"N/R",Data!AP41*1000),"-"))</f>
        <v>3.5100000000000131</v>
      </c>
      <c r="H37" s="408">
        <f>IF(Data!$B41="","",IF(Data!AB41="Polymer",IF(OR(D37="N/R",D37=""),"N/R",D37/1000),"-"))</f>
        <v>5.2533772123416123</v>
      </c>
      <c r="I37" s="541">
        <f>IF(Data!$B41="","",IF(Data!AB41="Polymer",IF(OR(Data!T41="N/R",Data!T41=""),"N/R",Data!T41/1000),"-"))</f>
        <v>4</v>
      </c>
      <c r="J37" s="542">
        <f>IF(Data!$B41="","",IF(Data!AB41="Polymer",IF(OR(Measurements!P38="N/R",Measurements!P38=""),"N/R",Measurements!P38),"-"))</f>
        <v>24.73</v>
      </c>
      <c r="K37" s="542">
        <f>IF(Data!$B41="","",IF(Data!AB41="Polymer",IF(OR(Measurements!Q38="N/R",Measurements!Q38=""),"N/R",Measurements!Q38/(10*10)),"-"))</f>
        <v>4.5837997213000001</v>
      </c>
      <c r="L37" s="542">
        <f>IF(Data!$B41="","",IF(Data!AB41="Polymer",IF(OR(Measurements!X38="N/R",Measurements!X38=""),"N/R",Measurements!X38/(10*10)),"-"))</f>
        <v>11.81886892494</v>
      </c>
      <c r="M37" s="542">
        <f>IF(Data!$B41="","",IF(Data!AB41="Polymer",IF(OR(Measurements!AI38="N/R",Measurements!AI38=""),"N/R",Measurements!AI38),"-"))</f>
        <v>2.4937499999999999</v>
      </c>
      <c r="N37" s="544">
        <f>IF(Data!$B41="","",IF(Data!AB41="Polymer",IF(OR(Measurements!M38="N/R",Measurements!M38=""),"N/R",Measurements!M38),"-"))</f>
        <v>6.7125000000000004</v>
      </c>
      <c r="O37" s="544">
        <f>IF(Data!$B41="","",IF(Data!AB41="Polymer",IF(OR(J37="N/R",J37=""),"N/R",J37/N37),"-"))</f>
        <v>3.6841713221601489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H37">
        <f>Data!S37</f>
        <v>5615.1510251019718</v>
      </c>
      <c r="AI37">
        <f>Data!AP37</f>
        <v>4.789999999999961E-3</v>
      </c>
      <c r="AJ37">
        <f>AH37/1000</f>
        <v>5.6151510251019721</v>
      </c>
      <c r="AK37">
        <f>AI37*1000</f>
        <v>4.789999999999961</v>
      </c>
    </row>
    <row r="38" spans="1:52">
      <c r="A38" s="90">
        <v>37</v>
      </c>
      <c r="B38" s="98" t="str">
        <f>IF(Data!$B42="","",IF(Data!AB42="Polymer",Data!A42,"Not Polymer"))</f>
        <v>HVIL001-UHMWPE-RT-AL-S10.0-0037</v>
      </c>
      <c r="C38" s="532">
        <f>IF(B38="","",Data!B42)</f>
        <v>43984.5</v>
      </c>
      <c r="D38" s="399">
        <f>IF(Data!$B42="","",IF(Data!AB42="Polymer",Data!S42,"-"))</f>
        <v>6035.1664319858664</v>
      </c>
      <c r="E38" s="399" t="str">
        <f>IF(Data!$B42="","",IF(Data!AB42="Polymer",Data!I42,"-"))</f>
        <v>Aluminum (AL)</v>
      </c>
      <c r="F38" s="90" t="str">
        <f>IF(Data!$B42="","",IF(Data!AB42="Polymer",Data!AE42,"-"))</f>
        <v>UHMWPE (UHMWPE)</v>
      </c>
      <c r="G38" s="401">
        <f>IF(Data!$B42="","",IF(Data!AB42="Polymer",IF(OR(Data!AP42="N/R",Data!AP42=""),"N/R",Data!AP42*1000),"-"))</f>
        <v>5.0299999999999789</v>
      </c>
      <c r="H38" s="408">
        <f>IF(Data!$B42="","",IF(Data!AB42="Polymer",IF(OR(D38="N/R",D38=""),"N/R",D38/1000),"-"))</f>
        <v>6.035166431985866</v>
      </c>
      <c r="I38" s="541" t="str">
        <f>IF(Data!$B42="","",IF(Data!AB42="Polymer",IF(OR(Data!T42="N/R",Data!T42=""),"N/R",Data!T42/1000),"-"))</f>
        <v>N/R</v>
      </c>
      <c r="J38" s="542" t="str">
        <f>IF(Data!$B42="","",IF(Data!AB42="Polymer",IF(OR(Measurements!P39="N/R",Measurements!P39=""),"N/R",Measurements!P39),"-"))</f>
        <v>N/R</v>
      </c>
      <c r="K38" s="542" t="str">
        <f>IF(Data!$B42="","",IF(Data!AB42="Polymer",IF(OR(Measurements!Q39="N/R",Measurements!Q39=""),"N/R",Measurements!Q39/(10*10)),"-"))</f>
        <v>N/R</v>
      </c>
      <c r="L38" s="542" t="str">
        <f>IF(Data!$B42="","",IF(Data!AB42="Polymer",IF(OR(Measurements!X39="N/R",Measurements!X39=""),"N/R",Measurements!X39/(10*10)),"-"))</f>
        <v>N/R</v>
      </c>
      <c r="M38" s="542" t="str">
        <f>IF(Data!$B42="","",IF(Data!AB42="Polymer",IF(OR(Measurements!AI39="N/R",Measurements!AI39=""),"N/R",Measurements!AI39),"-"))</f>
        <v>N/R</v>
      </c>
      <c r="N38" s="544" t="str">
        <f>IF(Data!$B42="","",IF(Data!AB42="Polymer",IF(OR(Measurements!M39="N/R",Measurements!M39=""),"N/R",Measurements!M39),"-"))</f>
        <v>N/R</v>
      </c>
      <c r="O38" s="544" t="str">
        <f>IF(Data!$B42="","",IF(Data!AB42="Polymer",IF(OR(J38="N/R",J38=""),"N/R",J38/N38),"-"))</f>
        <v>N/R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52">
      <c r="A39" s="90">
        <v>38</v>
      </c>
      <c r="B39" s="98" t="str">
        <f>IF(Data!$B43="","",IF(Data!AB43="Polymer",Data!A43,"Not Polymer"))</f>
        <v>HVIL001-UHMWPE-RT-AL-S10.0-0038</v>
      </c>
      <c r="C39" s="532">
        <f>IF(B39="","",Data!B43)</f>
        <v>43984.583333333336</v>
      </c>
      <c r="D39" s="399">
        <f>IF(Data!$B43="","",IF(Data!AB43="Polymer",Data!S43,"-"))</f>
        <v>5612.21250365776</v>
      </c>
      <c r="E39" s="399" t="str">
        <f>IF(Data!$B43="","",IF(Data!AB43="Polymer",Data!I43,"-"))</f>
        <v>Aluminum (AL)</v>
      </c>
      <c r="F39" s="90" t="str">
        <f>IF(Data!$B43="","",IF(Data!AB43="Polymer",Data!AE43,"-"))</f>
        <v>UHMWPE (UHMWPE)</v>
      </c>
      <c r="G39" s="401">
        <f>IF(Data!$B43="","",IF(Data!AB43="Polymer",IF(OR(Data!AP43="N/R",Data!AP43=""),"N/R",Data!AP43*1000),"-"))</f>
        <v>3.4100000000000241</v>
      </c>
      <c r="H39" s="408">
        <f>IF(Data!$B43="","",IF(Data!AB43="Polymer",IF(OR(D39="N/R",D39=""),"N/R",D39/1000),"-"))</f>
        <v>5.6122125036577604</v>
      </c>
      <c r="I39" s="541">
        <f>IF(Data!$B43="","",IF(Data!AB43="Polymer",IF(OR(Data!T43="N/R",Data!T43=""),"N/R",Data!T43/1000),"-"))</f>
        <v>4.5</v>
      </c>
      <c r="J39" s="542">
        <f>IF(Data!$B43="","",IF(Data!AB43="Polymer",IF(OR(Measurements!P40="N/R",Measurements!P40=""),"N/R",Measurements!P40),"-"))</f>
        <v>23.97</v>
      </c>
      <c r="K39" s="542">
        <f>IF(Data!$B43="","",IF(Data!AB43="Polymer",IF(OR(Measurements!Q40="N/R",Measurements!Q40=""),"N/R",Measurements!Q40/(10*10)),"-"))</f>
        <v>4.5069391511549997</v>
      </c>
      <c r="L39" s="542">
        <f>IF(Data!$B43="","",IF(Data!AB43="Polymer",IF(OR(Measurements!X40="N/R",Measurements!X40=""),"N/R",Measurements!X40/(10*10)),"-"))</f>
        <v>12.714432561469998</v>
      </c>
      <c r="M39" s="542">
        <f>IF(Data!$B43="","",IF(Data!AB43="Polymer",IF(OR(Measurements!AI40="N/R",Measurements!AI40=""),"N/R",Measurements!AI40),"-"))</f>
        <v>3.2749999999999999</v>
      </c>
      <c r="N39" s="544">
        <f>IF(Data!$B43="","",IF(Data!AB43="Polymer",IF(OR(Measurements!M40="N/R",Measurements!M40=""),"N/R",Measurements!M40),"-"))</f>
        <v>6.7249999999999996</v>
      </c>
      <c r="O39" s="544">
        <f>IF(Data!$B43="","",IF(Data!AB43="Polymer",IF(OR(J39="N/R",J39=""),"N/R",J39/N39),"-"))</f>
        <v>3.5643122676579928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52">
      <c r="A40" s="90">
        <v>39</v>
      </c>
      <c r="B40" s="98" t="str">
        <f>IF(Data!$B44="","",IF(Data!AB44="Polymer",Data!A44,"Not Polymer"))</f>
        <v>HVIL001-UHMWPE-RT-AL-S10.0-0039</v>
      </c>
      <c r="C40" s="532">
        <f>IF(B40="","",Data!B44)</f>
        <v>43984.666666666664</v>
      </c>
      <c r="D40" s="399">
        <f>IF(Data!$B44="","",IF(Data!AB44="Polymer",Data!S44,"-"))</f>
        <v>5378.6938426487859</v>
      </c>
      <c r="E40" s="399" t="str">
        <f>IF(Data!$B44="","",IF(Data!AB44="Polymer",Data!I44,"-"))</f>
        <v>Aluminum (AL)</v>
      </c>
      <c r="F40" s="90" t="str">
        <f>IF(Data!$B44="","",IF(Data!AB44="Polymer",Data!AE44,"-"))</f>
        <v>UHMWPE (UHMWPE)</v>
      </c>
      <c r="G40" s="401" t="str">
        <f>IF(Data!$B44="","",IF(Data!AB44="Polymer",IF(OR(Data!AP44="N/R",Data!AP44=""),"N/R",Data!AP44*1000),"-"))</f>
        <v>N/R</v>
      </c>
      <c r="H40" s="408">
        <f>IF(Data!$B44="","",IF(Data!AB44="Polymer",IF(OR(D40="N/R",D40=""),"N/R",D40/1000),"-"))</f>
        <v>5.3786938426487856</v>
      </c>
      <c r="I40" s="541" t="str">
        <f>IF(Data!$B44="","",IF(Data!AB44="Polymer",IF(OR(Data!T44="N/R",Data!T44=""),"N/R",Data!T44/1000),"-"))</f>
        <v>N/R</v>
      </c>
      <c r="J40" s="542" t="str">
        <f>IF(Data!$B44="","",IF(Data!AB44="Polymer",IF(OR(Measurements!P41="N/R",Measurements!P41=""),"N/R",Measurements!P41),"-"))</f>
        <v>N/R</v>
      </c>
      <c r="K40" s="542" t="str">
        <f>IF(Data!$B44="","",IF(Data!AB44="Polymer",IF(OR(Measurements!Q41="N/R",Measurements!Q41=""),"N/R",Measurements!Q41/(10*10)),"-"))</f>
        <v>N/R</v>
      </c>
      <c r="L40" s="542" t="str">
        <f>IF(Data!$B44="","",IF(Data!AB44="Polymer",IF(OR(Measurements!X41="N/R",Measurements!X41=""),"N/R",Measurements!X41/(10*10)),"-"))</f>
        <v>N/R</v>
      </c>
      <c r="M40" s="542" t="str">
        <f>IF(Data!$B44="","",IF(Data!AB44="Polymer",IF(OR(Measurements!AI41="N/R",Measurements!AI41=""),"N/R",Measurements!AI41),"-"))</f>
        <v>N/R</v>
      </c>
      <c r="N40" s="544" t="str">
        <f>IF(Data!$B44="","",IF(Data!AB44="Polymer",IF(OR(Measurements!M41="N/R",Measurements!M41=""),"N/R",Measurements!M41),"-"))</f>
        <v>N/R</v>
      </c>
      <c r="O40" s="544" t="str">
        <f>IF(Data!$B44="","",IF(Data!AB44="Polymer",IF(OR(J40="N/R",J40=""),"N/R",J40/N40),"-"))</f>
        <v>N/R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52">
      <c r="A41" s="90">
        <v>40</v>
      </c>
      <c r="B41" s="98" t="str">
        <f>IF(Data!$B45="","",IF(Data!AB45="Polymer",Data!A45,"Not Polymer"))</f>
        <v>HVIL001-HDPE-RT-ST-S10.0-0040</v>
      </c>
      <c r="C41" s="532">
        <f>IF(B41="","",Data!B45)</f>
        <v>1358856.4520833334</v>
      </c>
      <c r="D41" s="399">
        <f>IF(Data!$B45="","",IF(Data!AB45="Polymer",Data!S45,"-"))</f>
        <v>4215.201491900315</v>
      </c>
      <c r="E41" s="399" t="str">
        <f>IF(Data!$B45="","",IF(Data!AB45="Polymer",Data!I45,"-"))</f>
        <v>Steel (ST)</v>
      </c>
      <c r="F41" s="90" t="str">
        <f>IF(Data!$B45="","",IF(Data!AB45="Polymer",Data!AE45,"-"))</f>
        <v>HDPE (HDPE)</v>
      </c>
      <c r="G41" s="401">
        <f>IF(Data!$B45="","",IF(Data!AB45="Polymer",IF(OR(Data!AP45="N/R",Data!AP45=""),"N/R",Data!AP45*1000),"-"))</f>
        <v>1.5199999999999658</v>
      </c>
      <c r="H41" s="408">
        <f>IF(Data!$B45="","",IF(Data!AB45="Polymer",IF(OR(D41="N/R",D41=""),"N/R",D41/1000),"-"))</f>
        <v>4.2152014919003147</v>
      </c>
      <c r="I41" s="541" t="str">
        <f>IF(Data!$B45="","",IF(Data!AB45="Polymer",IF(OR(Data!T45="N/R",Data!T45=""),"N/R",Data!T45/1000),"-"))</f>
        <v>N/R</v>
      </c>
      <c r="J41" s="542">
        <f>IF(Data!$B45="","",IF(Data!AB45="Polymer",IF(OR(Measurements!P42="N/R",Measurements!P42=""),"N/R",Measurements!P42),"-"))</f>
        <v>24.85</v>
      </c>
      <c r="K41" s="542">
        <f>IF(Data!$B45="","",IF(Data!AB45="Polymer",IF(OR(Measurements!Q42="N/R",Measurements!Q42=""),"N/R",Measurements!Q42/(10*10)),"-"))</f>
        <v>4.8363442874249998</v>
      </c>
      <c r="L41" s="542">
        <f>IF(Data!$B45="","",IF(Data!AB45="Polymer",IF(OR(Measurements!X42="N/R",Measurements!X42=""),"N/R",Measurements!X42/(10*10)),"-"))</f>
        <v>10.473668361249999</v>
      </c>
      <c r="M41" s="542">
        <f>IF(Data!$B45="","",IF(Data!AB45="Polymer",IF(OR(Measurements!AI42="N/R",Measurements!AI42=""),"N/R",Measurements!AI42),"-"))</f>
        <v>6.4625000000000004</v>
      </c>
      <c r="N41" s="544">
        <f>IF(Data!$B45="","",IF(Data!AB45="Polymer",IF(OR(Measurements!M42="N/R",Measurements!M42=""),"N/R",Measurements!M42),"-"))</f>
        <v>6.3250000000000002</v>
      </c>
      <c r="O41" s="544">
        <f>IF(Data!$B45="","",IF(Data!AB45="Polymer",IF(OR(J41="N/R",J41=""),"N/R",J41/N41),"-"))</f>
        <v>3.9288537549407114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52" ht="12.95" customHeight="1">
      <c r="A42" s="90">
        <v>41</v>
      </c>
      <c r="B42" s="98" t="str">
        <f>IF(Data!$B46="","",IF(Data!AB46="Polymer",Data!A46,"Not Polymer"))</f>
        <v>HVIL001-HDPE-RT-AL-S10.0-0041</v>
      </c>
      <c r="C42" s="532">
        <f>IF(B42="","",Data!B46)</f>
        <v>44006.645833333336</v>
      </c>
      <c r="D42" s="399">
        <f>IF(Data!$B46="","",IF(Data!AB46="Polymer",Data!S46,"-"))</f>
        <v>3487.726660816199</v>
      </c>
      <c r="E42" s="399" t="str">
        <f>IF(Data!$B46="","",IF(Data!AB46="Polymer",Data!I46,"-"))</f>
        <v>Aluminum (AL)</v>
      </c>
      <c r="F42" s="90" t="str">
        <f>IF(Data!$B46="","",IF(Data!AB46="Polymer",Data!AE46,"-"))</f>
        <v>HDPE (HDPE)</v>
      </c>
      <c r="G42" s="401">
        <f>IF(Data!$B46="","",IF(Data!AB46="Polymer",IF(OR(Data!AP46="N/R",Data!AP46=""),"N/R",Data!AP46*1000),"-"))</f>
        <v>1.5600000000000058</v>
      </c>
      <c r="H42" s="408">
        <f>IF(Data!$B46="","",IF(Data!AB46="Polymer",IF(OR(D42="N/R",D42=""),"N/R",D42/1000),"-"))</f>
        <v>3.487726660816199</v>
      </c>
      <c r="I42" s="541" t="str">
        <f>IF(Data!$B46="","",IF(Data!AB46="Polymer",IF(OR(Data!T46="N/R",Data!T46=""),"N/R",Data!T46/1000),"-"))</f>
        <v>N/R</v>
      </c>
      <c r="J42" s="542">
        <f>IF(Data!$B46="","",IF(Data!AB46="Polymer",IF(OR(Measurements!P43="N/R",Measurements!P43=""),"N/R",Measurements!P43),"-"))</f>
        <v>25.34</v>
      </c>
      <c r="K42" s="542">
        <f>IF(Data!$B46="","",IF(Data!AB46="Polymer",IF(OR(Measurements!Q43="N/R",Measurements!Q43=""),"N/R",Measurements!Q43/(10*10)),"-"))</f>
        <v>4.9476304007900005</v>
      </c>
      <c r="L42" s="542">
        <f>IF(Data!$B46="","",IF(Data!AB46="Polymer",IF(OR(Measurements!X43="N/R",Measurements!X43=""),"N/R",Measurements!X43/(10*10)),"-"))</f>
        <v>12.315582578249998</v>
      </c>
      <c r="M42" s="542">
        <f>IF(Data!$B46="","",IF(Data!AB46="Polymer",IF(OR(Measurements!AI43="N/R",Measurements!AI43=""),"N/R",Measurements!AI43),"-"))</f>
        <v>4.8637499999999996</v>
      </c>
      <c r="N42" s="544">
        <f>IF(Data!$B46="","",IF(Data!AB46="Polymer",IF(OR(Measurements!M43="N/R",Measurements!M43=""),"N/R",Measurements!M43),"-"))</f>
        <v>6.32</v>
      </c>
      <c r="O42" s="544">
        <f>IF(Data!$B46="","",IF(Data!AB46="Polymer",IF(OR(J42="N/R",J42=""),"N/R",J42/N42),"-"))</f>
        <v>4.0094936708860756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G42" s="643" t="s">
        <v>213</v>
      </c>
      <c r="AH42" s="643"/>
      <c r="AI42" s="643"/>
      <c r="AJ42" s="643"/>
      <c r="AK42" s="643"/>
      <c r="AL42" s="643"/>
      <c r="AM42" s="643"/>
      <c r="AN42" s="553" t="s">
        <v>214</v>
      </c>
      <c r="AO42" s="643" t="s">
        <v>215</v>
      </c>
      <c r="AP42" s="643"/>
      <c r="AQ42" s="643"/>
      <c r="AR42" s="643"/>
      <c r="AS42" s="643"/>
      <c r="AT42" s="643"/>
      <c r="AU42" s="643"/>
    </row>
    <row r="43" spans="1:52">
      <c r="A43" s="90">
        <v>42</v>
      </c>
      <c r="B43" s="98" t="str">
        <f>IF(Data!$B47="","",IF(Data!AB47="Polymer",Data!A47,"Not Polymer"))</f>
        <v>Not Polymer</v>
      </c>
      <c r="C43" s="532">
        <f>IF(B43="","",Data!B47)</f>
        <v>44015.479166666664</v>
      </c>
      <c r="D43" s="399" t="str">
        <f>IF(Data!$B47="","",IF(Data!AB47="Polymer",Data!S47,"-"))</f>
        <v>-</v>
      </c>
      <c r="E43" s="399" t="str">
        <f>IF(Data!$B47="","",IF(Data!AB47="Polymer",Data!I47,"-"))</f>
        <v>-</v>
      </c>
      <c r="F43" s="90" t="str">
        <f>IF(Data!$B47="","",IF(Data!AB47="Polymer",Data!AE47,"-"))</f>
        <v>-</v>
      </c>
      <c r="G43" s="401" t="str">
        <f>IF(Data!$B47="","",IF(Data!AB47="Polymer",IF(OR(Data!AP47="N/R",Data!AP47=""),"N/R",Data!AP47*1000),"-"))</f>
        <v>-</v>
      </c>
      <c r="H43" s="408" t="str">
        <f>IF(Data!$B47="","",IF(Data!AB47="Polymer",IF(OR(D43="N/R",D43=""),"N/R",D43/1000),"-"))</f>
        <v>-</v>
      </c>
      <c r="I43" s="541" t="str">
        <f>IF(Data!$B47="","",IF(Data!AB47="Polymer",IF(OR(Data!T47="N/R",Data!T47=""),"N/R",Data!T47/1000),"-"))</f>
        <v>-</v>
      </c>
      <c r="J43" s="542" t="str">
        <f>IF(Data!$B47="","",IF(Data!AB47="Polymer",IF(OR(Measurements!P44="N/R",Measurements!P44=""),"N/R",Measurements!P44),"-"))</f>
        <v>-</v>
      </c>
      <c r="K43" s="542" t="str">
        <f>IF(Data!$B47="","",IF(Data!AB47="Polymer",IF(OR(Measurements!Q44="N/R",Measurements!Q44=""),"N/R",Measurements!Q44/(10*10)),"-"))</f>
        <v>-</v>
      </c>
      <c r="L43" s="542" t="str">
        <f>IF(Data!$B47="","",IF(Data!AB47="Polymer",IF(OR(Measurements!X44="N/R",Measurements!X44=""),"N/R",Measurements!X44/(10*10)),"-"))</f>
        <v>-</v>
      </c>
      <c r="M43" s="542" t="str">
        <f>IF(Data!$B47="","",IF(Data!AB47="Polymer",IF(OR(Measurements!AI44="N/R",Measurements!AI44=""),"N/R",Measurements!AI44),"-"))</f>
        <v>-</v>
      </c>
      <c r="N43" s="544" t="str">
        <f>IF(Data!$B47="","",IF(Data!AB47="Polymer",IF(OR(Measurements!M44="N/R",Measurements!M44=""),"N/R",Measurements!M44),"-"))</f>
        <v>-</v>
      </c>
      <c r="O43" s="544" t="str">
        <f>IF(Data!$B47="","",IF(Data!AB47="Polymer",IF(OR(J43="N/R",J43=""),"N/R",J43/N43),"-"))</f>
        <v>-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G43" s="491" t="s">
        <v>216</v>
      </c>
      <c r="AH43" s="491" t="s">
        <v>217</v>
      </c>
      <c r="AI43" s="491" t="s">
        <v>218</v>
      </c>
      <c r="AJ43" s="491" t="s">
        <v>219</v>
      </c>
      <c r="AK43" s="491" t="s">
        <v>220</v>
      </c>
      <c r="AL43" s="491" t="s">
        <v>24</v>
      </c>
      <c r="AM43" s="491" t="s">
        <v>206</v>
      </c>
      <c r="AN43" s="553" t="s">
        <v>221</v>
      </c>
      <c r="AO43" s="489" t="s">
        <v>216</v>
      </c>
      <c r="AP43" s="489" t="s">
        <v>217</v>
      </c>
      <c r="AQ43" s="489" t="s">
        <v>218</v>
      </c>
      <c r="AR43" s="489" t="s">
        <v>219</v>
      </c>
      <c r="AS43" s="489" t="s">
        <v>220</v>
      </c>
      <c r="AT43" s="489" t="s">
        <v>24</v>
      </c>
      <c r="AU43" s="489" t="s">
        <v>206</v>
      </c>
    </row>
    <row r="44" spans="1:52">
      <c r="A44" s="90">
        <v>43</v>
      </c>
      <c r="B44" s="98" t="str">
        <f>IF(Data!$B48="","",IF(Data!AB48="Polymer",Data!A48,"Not Polymer"))</f>
        <v>Not Polymer</v>
      </c>
      <c r="C44" s="532">
        <f>IF(B44="","",Data!B48)</f>
        <v>44033.64166666667</v>
      </c>
      <c r="D44" s="399" t="str">
        <f>IF(Data!$B48="","",IF(Data!AB48="Polymer",Data!S48,"-"))</f>
        <v>-</v>
      </c>
      <c r="E44" s="399" t="str">
        <f>IF(Data!$B48="","",IF(Data!AB48="Polymer",Data!I48,"-"))</f>
        <v>-</v>
      </c>
      <c r="F44" s="90" t="str">
        <f>IF(Data!$B48="","",IF(Data!AB48="Polymer",Data!AE48,"-"))</f>
        <v>-</v>
      </c>
      <c r="G44" s="401" t="str">
        <f>IF(Data!$B48="","",IF(Data!AB48="Polymer",IF(OR(Data!AP48="N/R",Data!AP48=""),"N/R",Data!AP48*1000),"-"))</f>
        <v>-</v>
      </c>
      <c r="H44" s="408" t="str">
        <f>IF(Data!$B48="","",IF(Data!AB48="Polymer",IF(OR(D44="N/R",D44=""),"N/R",D44/1000),"-"))</f>
        <v>-</v>
      </c>
      <c r="I44" s="541" t="str">
        <f>IF(Data!$B48="","",IF(Data!AB48="Polymer",IF(OR(Data!T48="N/R",Data!T48=""),"N/R",Data!T48/1000),"-"))</f>
        <v>-</v>
      </c>
      <c r="J44" s="542" t="str">
        <f>IF(Data!$B48="","",IF(Data!AB48="Polymer",IF(OR(Measurements!P45="N/R",Measurements!P45=""),"N/R",Measurements!P45),"-"))</f>
        <v>-</v>
      </c>
      <c r="K44" s="542" t="str">
        <f>IF(Data!$B48="","",IF(Data!AB48="Polymer",IF(OR(Measurements!Q45="N/R",Measurements!Q45=""),"N/R",Measurements!Q45/(10*10)),"-"))</f>
        <v>-</v>
      </c>
      <c r="L44" s="542" t="str">
        <f>IF(Data!$B48="","",IF(Data!AB48="Polymer",IF(OR(Measurements!X45="N/R",Measurements!X45=""),"N/R",Measurements!X45/(10*10)),"-"))</f>
        <v>-</v>
      </c>
      <c r="M44" s="542" t="str">
        <f>IF(Data!$B48="","",IF(Data!AB48="Polymer",IF(OR(Measurements!AI45="N/R",Measurements!AI45=""),"N/R",Measurements!AI45),"-"))</f>
        <v>-</v>
      </c>
      <c r="N44" s="544" t="str">
        <f>IF(Data!$B48="","",IF(Data!AB48="Polymer",IF(OR(Measurements!M45="N/R",Measurements!M45=""),"N/R",Measurements!M45),"-"))</f>
        <v>-</v>
      </c>
      <c r="O44" s="544" t="str">
        <f>IF(Data!$B48="","",IF(Data!AB48="Polymer",IF(OR(J44="N/R",J44=""),"N/R",J44/N44),"-"))</f>
        <v>-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487"/>
      <c r="AH44" s="554"/>
      <c r="AI44" s="554"/>
      <c r="AJ44" s="554"/>
      <c r="AK44" s="554"/>
      <c r="AL44" s="554"/>
      <c r="AM44" s="554"/>
      <c r="AN44" s="555"/>
      <c r="AO44" s="489">
        <v>54</v>
      </c>
      <c r="AP44" s="478">
        <f>Data!S59</f>
        <v>2484.618904555874</v>
      </c>
      <c r="AQ44" s="479">
        <f>Data!AP59</f>
        <v>1.0799999999999699E-3</v>
      </c>
      <c r="AR44" s="480">
        <f t="shared" ref="AR44:AR49" si="0">AP44/1000</f>
        <v>2.484618904555874</v>
      </c>
      <c r="AS44" s="556">
        <f t="shared" ref="AS44:AS49" si="1">AQ44*1000</f>
        <v>1.0799999999999699</v>
      </c>
      <c r="AT44" s="554"/>
      <c r="AU44" s="554"/>
    </row>
    <row r="45" spans="1:52">
      <c r="A45" s="90">
        <v>44</v>
      </c>
      <c r="B45" s="98" t="str">
        <f>IF(Data!$B49="","",IF(Data!AB49="Polymer",Data!A49,"Not Polymer"))</f>
        <v>HVIL003-PMMA-RT-AL-S04.0-0044</v>
      </c>
      <c r="C45" s="532">
        <f>IF(B45="","",Data!B49)</f>
        <v>44035.489583333336</v>
      </c>
      <c r="D45" s="399">
        <f>IF(Data!$B49="","",IF(Data!AB49="Polymer",Data!S49,"-"))</f>
        <v>5946.4349893309063</v>
      </c>
      <c r="E45" s="399" t="str">
        <f>IF(Data!$B49="","",IF(Data!AB49="Polymer",Data!I49,"-"))</f>
        <v>Aluminum (AL)</v>
      </c>
      <c r="F45" s="90" t="str">
        <f>IF(Data!$B49="","",IF(Data!AB49="Polymer",Data!AE49,"-"))</f>
        <v>PMMA (PMMA)</v>
      </c>
      <c r="G45" s="401">
        <f>IF(Data!$B49="","",IF(Data!AB49="Polymer",IF(OR(Data!AP49="N/R",Data!AP49=""),"N/R",Data!AP49*1000),"-"))</f>
        <v>0.14999999999998348</v>
      </c>
      <c r="H45" s="408">
        <f>IF(Data!$B49="","",IF(Data!AB49="Polymer",IF(OR(D45="N/R",D45=""),"N/R",D45/1000),"-"))</f>
        <v>5.9464349893309061</v>
      </c>
      <c r="I45" s="541" t="str">
        <f>IF(Data!$B49="","",IF(Data!AB49="Polymer",IF(OR(Data!T49="N/R",Data!T49=""),"N/R",Data!T49/1000),"-"))</f>
        <v>N/R</v>
      </c>
      <c r="J45" s="542">
        <f>IF(Data!$B49="","",IF(Data!AB49="Polymer",IF(OR(Measurements!P46="N/R",Measurements!P46=""),"N/R",Measurements!P46),"-"))</f>
        <v>7.2</v>
      </c>
      <c r="K45" s="542">
        <f>IF(Data!$B49="","",IF(Data!AB49="Polymer",IF(OR(Measurements!Q46="N/R",Measurements!Q46=""),"N/R",Measurements!Q46/(10*10)),"-"))</f>
        <v>0.40092971579999998</v>
      </c>
      <c r="L45" s="542">
        <f>IF(Data!$B49="","",IF(Data!AB49="Polymer",IF(OR(Measurements!X46="N/R",Measurements!X46=""),"N/R",Measurements!X46/(10*10)),"-"))</f>
        <v>1.533763507875</v>
      </c>
      <c r="M45" s="542" t="str">
        <f>IF(Data!$B49="","",IF(Data!AB49="Polymer",IF(OR(Measurements!AI46="N/R",Measurements!AI46=""),"N/R",Measurements!AI46),"-"))</f>
        <v>N/R</v>
      </c>
      <c r="N45" s="544">
        <f>IF(Data!$B49="","",IF(Data!AB49="Polymer",IF(OR(Measurements!M46="N/R",Measurements!M46=""),"N/R",Measurements!M46),"-"))</f>
        <v>1.635</v>
      </c>
      <c r="O45" s="544">
        <f>IF(Data!$B49="","",IF(Data!AB49="Polymer",IF(OR(J45="N/R",J45=""),"N/R",J45/N45),"-"))</f>
        <v>4.4036697247706424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G45" s="487"/>
      <c r="AH45" s="482"/>
      <c r="AI45" s="482"/>
      <c r="AJ45" s="482"/>
      <c r="AK45" s="482"/>
      <c r="AL45" s="482"/>
      <c r="AM45" s="482"/>
      <c r="AN45" s="557"/>
      <c r="AO45" s="489">
        <v>41</v>
      </c>
      <c r="AP45" s="123">
        <f>Data!S46</f>
        <v>3487.726660816199</v>
      </c>
      <c r="AQ45" s="474">
        <f>Data!AP46</f>
        <v>1.5600000000000058E-3</v>
      </c>
      <c r="AR45" s="462">
        <f t="shared" si="0"/>
        <v>3.487726660816199</v>
      </c>
      <c r="AS45" s="462">
        <f t="shared" si="1"/>
        <v>1.5600000000000058</v>
      </c>
      <c r="AT45" s="106"/>
      <c r="AU45" s="462"/>
      <c r="AW45" t="str">
        <f>Data!A33</f>
        <v>HVIL001-UHMWPE-RT-AL-S10.0-0028</v>
      </c>
      <c r="AZ45">
        <f>Data!S33</f>
        <v>4664.8052849631586</v>
      </c>
    </row>
    <row r="46" spans="1:52">
      <c r="A46" s="90">
        <v>45</v>
      </c>
      <c r="B46" s="98" t="str">
        <f>IF(Data!$B50="","",IF(Data!AB50="Polymer",Data!A50,"Not Polymer"))</f>
        <v>HVIL003-PMMA-RT-AL-S04.0-0045</v>
      </c>
      <c r="C46" s="532">
        <f>IF(B46="","",Data!B50)</f>
        <v>44036.395833333336</v>
      </c>
      <c r="D46" s="399">
        <f>IF(Data!$B50="","",IF(Data!AB50="Polymer",Data!S50,"-"))</f>
        <v>2276.7379881656375</v>
      </c>
      <c r="E46" s="399" t="str">
        <f>IF(Data!$B50="","",IF(Data!AB50="Polymer",Data!I50,"-"))</f>
        <v>Aluminum (AL)</v>
      </c>
      <c r="F46" s="90" t="str">
        <f>IF(Data!$B50="","",IF(Data!AB50="Polymer",Data!AE50,"-"))</f>
        <v>PMMA (PMMA)</v>
      </c>
      <c r="G46" s="401">
        <f>IF(Data!$B50="","",IF(Data!AB50="Polymer",IF(OR(Data!AP50="N/R",Data!AP50=""),"N/R",Data!AP50*1000),"-"))</f>
        <v>0.10200000000001874</v>
      </c>
      <c r="H46" s="408">
        <f>IF(Data!$B50="","",IF(Data!AB50="Polymer",IF(OR(D46="N/R",D46=""),"N/R",D46/1000),"-"))</f>
        <v>2.2767379881656375</v>
      </c>
      <c r="I46" s="541" t="str">
        <f>IF(Data!$B50="","",IF(Data!AB50="Polymer",IF(OR(Data!T50="N/R",Data!T50=""),"N/R",Data!T50/1000),"-"))</f>
        <v>N/R</v>
      </c>
      <c r="J46" s="542">
        <f>IF(Data!$B50="","",IF(Data!AB50="Polymer",IF(OR(Measurements!P47="N/R",Measurements!P47=""),"N/R",Measurements!P47),"-"))</f>
        <v>4.2</v>
      </c>
      <c r="K46" s="542">
        <f>IF(Data!$B50="","",IF(Data!AB50="Polymer",IF(OR(Measurements!Q47="N/R",Measurements!Q47=""),"N/R",Measurements!Q47/(10*10)),"-"))</f>
        <v>0.13194677999999999</v>
      </c>
      <c r="L46" s="542">
        <f>IF(Data!$B50="","",IF(Data!AB50="Polymer",IF(OR(Measurements!X47="N/R",Measurements!X47=""),"N/R",Measurements!X47/(10*10)),"-"))</f>
        <v>0.84933199809000004</v>
      </c>
      <c r="M46" s="542" t="str">
        <f>IF(Data!$B50="","",IF(Data!AB50="Polymer",IF(OR(Measurements!AI47="N/R",Measurements!AI47=""),"N/R",Measurements!AI47),"-"))</f>
        <v>N/R</v>
      </c>
      <c r="N46" s="544">
        <f>IF(Data!$B50="","",IF(Data!AB50="Polymer",IF(OR(Measurements!M47="N/R",Measurements!M47=""),"N/R",Measurements!M47),"-"))</f>
        <v>1.6575</v>
      </c>
      <c r="O46" s="544">
        <f>IF(Data!$B50="","",IF(Data!AB50="Polymer",IF(OR(J46="N/R",J46=""),"N/R",J46/N46),"-"))</f>
        <v>2.5339366515837107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G46" s="488">
        <v>30</v>
      </c>
      <c r="AH46" s="483">
        <f>Data!S35</f>
        <v>3846.8608794559987</v>
      </c>
      <c r="AI46" s="484">
        <f>Data!AP35</f>
        <v>2.4800000000000377E-3</v>
      </c>
      <c r="AJ46" s="485">
        <f>AH46/1000</f>
        <v>3.8468608794559986</v>
      </c>
      <c r="AK46" s="485">
        <f>AI46*1000</f>
        <v>2.4800000000000377</v>
      </c>
      <c r="AL46" s="486">
        <v>3060</v>
      </c>
      <c r="AM46" s="485">
        <f>AL46/1000</f>
        <v>3.06</v>
      </c>
      <c r="AN46" s="558"/>
      <c r="AO46" s="489">
        <v>53</v>
      </c>
      <c r="AP46" s="123">
        <f>Data!S58</f>
        <v>3843.6452762810304</v>
      </c>
      <c r="AQ46" s="474">
        <f>Data!AP58</f>
        <v>1.7700000000000493E-3</v>
      </c>
      <c r="AR46" s="462">
        <f t="shared" si="0"/>
        <v>3.8436452762810305</v>
      </c>
      <c r="AS46" s="462">
        <f t="shared" si="1"/>
        <v>1.7700000000000493</v>
      </c>
      <c r="AT46" s="106"/>
      <c r="AU46" s="462"/>
    </row>
    <row r="47" spans="1:52">
      <c r="A47" s="90">
        <v>46</v>
      </c>
      <c r="B47" s="98" t="str">
        <f>IF(Data!$B51="","",IF(Data!AB51="Polymer",Data!A51,"Not Polymer"))</f>
        <v>HVIL001-HDPE-RT-AL-S10.0-0046</v>
      </c>
      <c r="C47" s="532">
        <f>IF(B47="","",Data!B51)</f>
        <v>44043.9375</v>
      </c>
      <c r="D47" s="399">
        <f>IF(Data!$B51="","",IF(Data!AB51="Polymer",Data!S51,"-"))</f>
        <v>4483.2956215940685</v>
      </c>
      <c r="E47" s="399" t="str">
        <f>IF(Data!$B51="","",IF(Data!AB51="Polymer",Data!I51,"-"))</f>
        <v>Aluminum (AL)</v>
      </c>
      <c r="F47" s="90" t="str">
        <f>IF(Data!$B51="","",IF(Data!AB51="Polymer",Data!AE51,"-"))</f>
        <v>HDPE (HDPE)</v>
      </c>
      <c r="G47" s="401">
        <f>IF(Data!$B51="","",IF(Data!AB51="Polymer",IF(OR(Data!AP51="N/R",Data!AP51=""),"N/R",Data!AP51*1000),"-"))</f>
        <v>2.1399999999999197</v>
      </c>
      <c r="H47" s="408">
        <f>IF(Data!$B51="","",IF(Data!AB51="Polymer",IF(OR(D47="N/R",D47=""),"N/R",D47/1000),"-"))</f>
        <v>4.4832956215940687</v>
      </c>
      <c r="I47" s="541" t="str">
        <f>IF(Data!$B51="","",IF(Data!AB51="Polymer",IF(OR(Data!T51="N/R",Data!T51=""),"N/R",Data!T51/1000),"-"))</f>
        <v>N/R</v>
      </c>
      <c r="J47" s="542">
        <f>IF(Data!$B51="","",IF(Data!AB51="Polymer",IF(OR(Measurements!P48="N/R",Measurements!P48=""),"N/R",Measurements!P48),"-"))</f>
        <v>28.38</v>
      </c>
      <c r="K47" s="542">
        <f>IF(Data!$B51="","",IF(Data!AB51="Polymer",IF(OR(Measurements!Q48="N/R",Measurements!Q48=""),"N/R",Measurements!Q48/(10*10)),"-"))</f>
        <v>6.2700591493649993</v>
      </c>
      <c r="L47" s="542">
        <f>IF(Data!$B51="","",IF(Data!AB51="Polymer",IF(OR(Measurements!X48="N/R",Measurements!X48=""),"N/R",Measurements!X48/(10*10)),"-"))</f>
        <v>10.3719240421125</v>
      </c>
      <c r="M47" s="542">
        <f>IF(Data!$B51="","",IF(Data!AB51="Polymer",IF(OR(Measurements!AI48="N/R",Measurements!AI48=""),"N/R",Measurements!AI48),"-"))</f>
        <v>5.2624999999999993</v>
      </c>
      <c r="N47" s="544">
        <f>IF(Data!$B51="","",IF(Data!AB51="Polymer",IF(OR(Measurements!M48="N/R",Measurements!M48=""),"N/R",Measurements!M48),"-"))</f>
        <v>6.3274999999999997</v>
      </c>
      <c r="O47" s="544">
        <f>IF(Data!$B51="","",IF(Data!AB51="Polymer",IF(OR(J47="N/R",J47=""),"N/R",J47/N47),"-"))</f>
        <v>4.4851837218490713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489">
        <v>31</v>
      </c>
      <c r="AH47" s="123">
        <f>Data!S36</f>
        <v>4091.0324541331852</v>
      </c>
      <c r="AI47" s="474">
        <f>Data!AP36</f>
        <v>2.5699999999999612E-3</v>
      </c>
      <c r="AJ47" s="462">
        <f t="shared" ref="AJ47:AJ51" si="2">AH47/1000</f>
        <v>4.0910324541331855</v>
      </c>
      <c r="AK47" s="462">
        <f t="shared" ref="AK47:AK51" si="3">AI47*1000</f>
        <v>2.5699999999999612</v>
      </c>
      <c r="AL47" s="106">
        <v>3247</v>
      </c>
      <c r="AM47" s="462">
        <f t="shared" ref="AM47:AM52" si="4">AL47/1000</f>
        <v>3.2469999999999999</v>
      </c>
      <c r="AN47" s="558" t="s">
        <v>76</v>
      </c>
      <c r="AO47" s="489">
        <v>48</v>
      </c>
      <c r="AP47" s="123">
        <f>Data!S53</f>
        <v>4290.4598407595831</v>
      </c>
      <c r="AQ47" s="474">
        <f>Data!AP53</f>
        <v>2.0000000000000018E-3</v>
      </c>
      <c r="AR47" s="462">
        <f t="shared" si="0"/>
        <v>4.2904598407595831</v>
      </c>
      <c r="AS47" s="462">
        <f t="shared" si="1"/>
        <v>2.0000000000000018</v>
      </c>
      <c r="AT47" s="106"/>
      <c r="AU47" s="462"/>
      <c r="AW47" t="str">
        <f>Data!A34</f>
        <v>HVIL001-UHMWPE-RT-AL-S10.0-0029</v>
      </c>
      <c r="AZ47">
        <f>Data!S34</f>
        <v>4937.7005385352468</v>
      </c>
    </row>
    <row r="48" spans="1:52">
      <c r="A48" s="90">
        <v>47</v>
      </c>
      <c r="B48" s="98" t="str">
        <f>IF(Data!$B52="","",IF(Data!AB52="Polymer",Data!A52,"Not Polymer"))</f>
        <v>HVIL001-HDPE-RT-AL-S10.0-0047</v>
      </c>
      <c r="C48" s="532">
        <f>IF(B48="","",Data!B52)</f>
        <v>44046.5625</v>
      </c>
      <c r="D48" s="399" t="str">
        <f>IF(Data!$B52="","",IF(Data!AB52="Polymer",Data!S52,"-"))</f>
        <v>N/R</v>
      </c>
      <c r="E48" s="399" t="str">
        <f>IF(Data!$B52="","",IF(Data!AB52="Polymer",Data!I52,"-"))</f>
        <v>Aluminum (AL)</v>
      </c>
      <c r="F48" s="90" t="str">
        <f>IF(Data!$B52="","",IF(Data!AB52="Polymer",Data!AE52,"-"))</f>
        <v>HDPE (HDPE)</v>
      </c>
      <c r="G48" s="401">
        <f>IF(Data!$B52="","",IF(Data!AB52="Polymer",IF(OR(Data!AP52="N/R",Data!AP52=""),"N/R",Data!AP52*1000),"-"))</f>
        <v>0.17999999999995797</v>
      </c>
      <c r="H48" s="408" t="str">
        <f>IF(Data!$B52="","",IF(Data!AB52="Polymer",IF(OR(D48="N/R",D48=""),"N/R",D48/1000),"-"))</f>
        <v>N/R</v>
      </c>
      <c r="I48" s="541" t="str">
        <f>IF(Data!$B52="","",IF(Data!AB52="Polymer",IF(OR(Data!T52="N/R",Data!T52=""),"N/R",Data!T52/1000),"-"))</f>
        <v>N/R</v>
      </c>
      <c r="J48" s="542" t="str">
        <f>IF(Data!$B52="","",IF(Data!AB52="Polymer",IF(OR(Measurements!P49="N/R",Measurements!P49=""),"N/R",Measurements!P49),"-"))</f>
        <v>N/R</v>
      </c>
      <c r="K48" s="542" t="str">
        <f>IF(Data!$B52="","",IF(Data!AB52="Polymer",IF(OR(Measurements!Q49="N/R",Measurements!Q49=""),"N/R",Measurements!Q49/(10*10)),"-"))</f>
        <v>N/R</v>
      </c>
      <c r="L48" s="542" t="str">
        <f>IF(Data!$B52="","",IF(Data!AB52="Polymer",IF(OR(Measurements!X49="N/R",Measurements!X49=""),"N/R",Measurements!X49/(10*10)),"-"))</f>
        <v>N/R</v>
      </c>
      <c r="M48" s="542" t="str">
        <f>IF(Data!$B52="","",IF(Data!AB52="Polymer",IF(OR(Measurements!AI49="N/R",Measurements!AI49=""),"N/R",Measurements!AI49),"-"))</f>
        <v>N/R</v>
      </c>
      <c r="N48" s="544" t="str">
        <f>IF(Data!$B52="","",IF(Data!AB52="Polymer",IF(OR(Measurements!M49="N/R",Measurements!M49=""),"N/R",Measurements!M49),"-"))</f>
        <v>N/R</v>
      </c>
      <c r="O48" s="544" t="str">
        <f>IF(Data!$B52="","",IF(Data!AB52="Polymer",IF(OR(J48="N/R",J48=""),"N/R",J48/N48),"-"))</f>
        <v>N/R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489">
        <v>28</v>
      </c>
      <c r="AH48" s="123">
        <f>Data!S33</f>
        <v>4664.8052849631586</v>
      </c>
      <c r="AI48" s="474">
        <f>Data!AP33</f>
        <v>2.7899999999999592E-3</v>
      </c>
      <c r="AJ48" s="462">
        <f t="shared" si="2"/>
        <v>4.6648052849631583</v>
      </c>
      <c r="AK48" s="462">
        <f t="shared" si="3"/>
        <v>2.7899999999999592</v>
      </c>
      <c r="AL48" s="106">
        <v>3350</v>
      </c>
      <c r="AM48" s="462">
        <f t="shared" si="4"/>
        <v>3.35</v>
      </c>
      <c r="AN48" s="558" t="s">
        <v>76</v>
      </c>
      <c r="AO48" s="489">
        <v>46</v>
      </c>
      <c r="AP48" s="123">
        <f>Data!S51</f>
        <v>4483.2956215940685</v>
      </c>
      <c r="AQ48" s="474">
        <f>Data!AP51</f>
        <v>2.1399999999999197E-3</v>
      </c>
      <c r="AR48" s="462">
        <f t="shared" si="0"/>
        <v>4.4832956215940687</v>
      </c>
      <c r="AS48" s="462">
        <f t="shared" si="1"/>
        <v>2.1399999999999197</v>
      </c>
      <c r="AT48" s="106"/>
      <c r="AU48" s="462"/>
      <c r="AW48" t="str">
        <f>Data!A35</f>
        <v>HVIL001-UHMWPE-RT-AL-S10.0-0030</v>
      </c>
      <c r="AZ48">
        <f>Data!S35</f>
        <v>3846.8608794559987</v>
      </c>
    </row>
    <row r="49" spans="1:52">
      <c r="A49" s="90">
        <v>48</v>
      </c>
      <c r="B49" s="98" t="str">
        <f>IF(Data!$B53="","",IF(Data!AB53="Polymer",Data!A53,"Not Polymer"))</f>
        <v>HVIL001-HDPE-RT-AL-S10.0-0048</v>
      </c>
      <c r="C49" s="532">
        <f>IF(B49="","",Data!B53)</f>
        <v>44047.4375</v>
      </c>
      <c r="D49" s="399">
        <f>IF(Data!$B53="","",IF(Data!AB53="Polymer",Data!S53,"-"))</f>
        <v>4290.4598407595831</v>
      </c>
      <c r="E49" s="399" t="str">
        <f>IF(Data!$B53="","",IF(Data!AB53="Polymer",Data!I53,"-"))</f>
        <v>Aluminum (AL)</v>
      </c>
      <c r="F49" s="90" t="str">
        <f>IF(Data!$B53="","",IF(Data!AB53="Polymer",Data!AE53,"-"))</f>
        <v>HDPE (HDPE)</v>
      </c>
      <c r="G49" s="401">
        <f>IF(Data!$B53="","",IF(Data!AB53="Polymer",IF(OR(Data!AP53="N/R",Data!AP53=""),"N/R",Data!AP53*1000),"-"))</f>
        <v>2.0000000000000018</v>
      </c>
      <c r="H49" s="408">
        <f>IF(Data!$B53="","",IF(Data!AB53="Polymer",IF(OR(D49="N/R",D49=""),"N/R",D49/1000),"-"))</f>
        <v>4.2904598407595831</v>
      </c>
      <c r="I49" s="541" t="str">
        <f>IF(Data!$B53="","",IF(Data!AB53="Polymer",IF(OR(Data!T53="N/R",Data!T53=""),"N/R",Data!T53/1000),"-"))</f>
        <v>N/R</v>
      </c>
      <c r="J49" s="542">
        <f>IF(Data!$B53="","",IF(Data!AB53="Polymer",IF(OR(Measurements!P50="N/R",Measurements!P50=""),"N/R",Measurements!P50),"-"))</f>
        <v>27.23</v>
      </c>
      <c r="K49" s="542">
        <f>IF(Data!$B53="","",IF(Data!AB53="Polymer",IF(OR(Measurements!Q50="N/R",Measurements!Q50=""),"N/R",Measurements!Q50/(10*10)),"-"))</f>
        <v>5.7486573110400006</v>
      </c>
      <c r="L49" s="542">
        <f>IF(Data!$B53="","",IF(Data!AB53="Polymer",IF(OR(Measurements!X50="N/R",Measurements!X50=""),"N/R",Measurements!X50/(10*10)),"-"))</f>
        <v>9.8756596361724984</v>
      </c>
      <c r="M49" s="542">
        <f>IF(Data!$B53="","",IF(Data!AB53="Polymer",IF(OR(Measurements!AI50="N/R",Measurements!AI50=""),"N/R",Measurements!AI50),"-"))</f>
        <v>4.51</v>
      </c>
      <c r="N49" s="544">
        <f>IF(Data!$B53="","",IF(Data!AB53="Polymer",IF(OR(Measurements!M50="N/R",Measurements!M50=""),"N/R",Measurements!M50),"-"))</f>
        <v>6.2275000000000009</v>
      </c>
      <c r="O49" s="544">
        <f>IF(Data!$B53="","",IF(Data!AB53="Polymer",IF(OR(J49="N/R",J49=""),"N/R",J49/N49),"-"))</f>
        <v>4.372541148133279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G49" s="489">
        <v>29</v>
      </c>
      <c r="AH49" s="123">
        <f>Data!S34</f>
        <v>4937.7005385352468</v>
      </c>
      <c r="AI49" s="474">
        <f>Data!AP34</f>
        <v>2.9000000000000137E-3</v>
      </c>
      <c r="AJ49" s="462">
        <f t="shared" si="2"/>
        <v>4.937700538535247</v>
      </c>
      <c r="AK49" s="462">
        <f t="shared" si="3"/>
        <v>2.9000000000000137</v>
      </c>
      <c r="AL49" s="106">
        <v>3700</v>
      </c>
      <c r="AM49" s="462">
        <f t="shared" si="4"/>
        <v>3.7</v>
      </c>
      <c r="AN49" s="558" t="s">
        <v>76</v>
      </c>
      <c r="AO49" s="489">
        <v>50</v>
      </c>
      <c r="AP49" s="123">
        <f>Data!S55</f>
        <v>4789.2020734371454</v>
      </c>
      <c r="AQ49" s="474">
        <f>Data!AP55</f>
        <v>2.1900000000000253E-3</v>
      </c>
      <c r="AR49" s="462">
        <f t="shared" si="0"/>
        <v>4.7892020734371457</v>
      </c>
      <c r="AS49" s="462">
        <f t="shared" si="1"/>
        <v>2.1900000000000253</v>
      </c>
      <c r="AT49" s="106"/>
      <c r="AU49" s="462"/>
      <c r="AW49" t="str">
        <f>Data!A36</f>
        <v>HVIL001-UHMWPE-RT-AL-S10.0-0031</v>
      </c>
      <c r="AZ49">
        <f>Data!S36</f>
        <v>4091.0324541331852</v>
      </c>
    </row>
    <row r="50" spans="1:52">
      <c r="A50" s="90">
        <v>49</v>
      </c>
      <c r="B50" s="98" t="str">
        <f>IF(Data!$B54="","",IF(Data!AB54="Polymer",Data!A54,"Not Polymer"))</f>
        <v>HVIL001-HDPE-RT-AL-S10.0-0049</v>
      </c>
      <c r="C50" s="532">
        <f>IF(B50="","",Data!B54)</f>
        <v>44049.423611111109</v>
      </c>
      <c r="D50" s="399">
        <f>IF(Data!$B54="","",IF(Data!AB54="Polymer",Data!S54,"-"))</f>
        <v>5470.2635107987107</v>
      </c>
      <c r="E50" s="399" t="str">
        <f>IF(Data!$B54="","",IF(Data!AB54="Polymer",Data!I54,"-"))</f>
        <v>Aluminum (AL)</v>
      </c>
      <c r="F50" s="90" t="str">
        <f>IF(Data!$B54="","",IF(Data!AB54="Polymer",Data!AE54,"-"))</f>
        <v>HDPE (HDPE)</v>
      </c>
      <c r="G50" s="401">
        <f>IF(Data!$B54="","",IF(Data!AB54="Polymer",IF(OR(Data!AP54="N/R",Data!AP54=""),"N/R",Data!AP54*1000),"-"))</f>
        <v>2.8299999999999992</v>
      </c>
      <c r="H50" s="408">
        <f>IF(Data!$B54="","",IF(Data!AB54="Polymer",IF(OR(D50="N/R",D50=""),"N/R",D50/1000),"-"))</f>
        <v>5.470263510798711</v>
      </c>
      <c r="I50" s="541" t="str">
        <f>IF(Data!$B54="","",IF(Data!AB54="Polymer",IF(OR(Data!T54="N/R",Data!T54=""),"N/R",Data!T54/1000),"-"))</f>
        <v>N/R</v>
      </c>
      <c r="J50" s="542">
        <f>IF(Data!$B54="","",IF(Data!AB54="Polymer",IF(OR(Measurements!P51="N/R",Measurements!P51=""),"N/R",Measurements!P51),"-"))</f>
        <v>30.44</v>
      </c>
      <c r="K50" s="542">
        <f>IF(Data!$B54="","",IF(Data!AB54="Polymer",IF(OR(Measurements!Q51="N/R",Measurements!Q51=""),"N/R",Measurements!Q51/(10*10)),"-"))</f>
        <v>7.1220442202100003</v>
      </c>
      <c r="L50" s="542">
        <f>IF(Data!$B54="","",IF(Data!AB54="Polymer",IF(OR(Measurements!X51="N/R",Measurements!X51=""),"N/R",Measurements!X51/(10*10)),"-"))</f>
        <v>11.828463340799999</v>
      </c>
      <c r="M50" s="542">
        <f>IF(Data!$B54="","",IF(Data!AB54="Polymer",IF(OR(Measurements!AI51="N/R",Measurements!AI51=""),"N/R",Measurements!AI51),"-"))</f>
        <v>4.3062499999999995</v>
      </c>
      <c r="N50" s="544">
        <f>IF(Data!$B54="","",IF(Data!AB54="Polymer",IF(OR(Measurements!M51="N/R",Measurements!M51=""),"N/R",Measurements!M51),"-"))</f>
        <v>6.2174999999999994</v>
      </c>
      <c r="O50" s="544">
        <f>IF(Data!$B54="","",IF(Data!AB54="Polymer",IF(OR(J50="N/R",J50=""),"N/R",J50/N50),"-"))</f>
        <v>4.8958584640128677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G50" s="489">
        <v>36</v>
      </c>
      <c r="AH50" s="477">
        <f>Data!S41</f>
        <v>5253.377212341612</v>
      </c>
      <c r="AI50" s="475">
        <f>Data!AP41-0.0003</f>
        <v>3.2100000000000132E-3</v>
      </c>
      <c r="AJ50" s="476">
        <f>AH50/1000</f>
        <v>5.2533772123416123</v>
      </c>
      <c r="AK50" s="476">
        <f>AI50*1000</f>
        <v>3.2100000000000133</v>
      </c>
      <c r="AL50" s="106">
        <v>4000</v>
      </c>
      <c r="AM50" s="462">
        <f t="shared" si="4"/>
        <v>4</v>
      </c>
      <c r="AN50" s="558"/>
      <c r="AO50" s="489"/>
      <c r="AP50" s="478"/>
      <c r="AQ50" s="479"/>
      <c r="AR50" s="480"/>
      <c r="AS50" s="480"/>
      <c r="AT50" s="106"/>
      <c r="AU50" s="462"/>
      <c r="AW50" t="str">
        <f>Data!A37</f>
        <v>HVIL001-UHMWPE-RT-AL-S10.0-0032</v>
      </c>
      <c r="AZ50">
        <f>Data!S37</f>
        <v>5615.1510251019718</v>
      </c>
    </row>
    <row r="51" spans="1:52">
      <c r="A51" s="90">
        <v>50</v>
      </c>
      <c r="B51" s="98" t="str">
        <f>IF(Data!$B55="","",IF(Data!AB55="Polymer",Data!A55,"Not Polymer"))</f>
        <v>HVIL001-HDPE-RT-AL-S10.0-0050</v>
      </c>
      <c r="C51" s="532">
        <f>IF(B51="","",Data!B55)</f>
        <v>44050.447916666664</v>
      </c>
      <c r="D51" s="399">
        <f>IF(Data!$B55="","",IF(Data!AB55="Polymer",Data!S55,"-"))</f>
        <v>4789.2020734371454</v>
      </c>
      <c r="E51" s="399" t="str">
        <f>IF(Data!$B55="","",IF(Data!AB55="Polymer",Data!I55,"-"))</f>
        <v>Aluminum (AL)</v>
      </c>
      <c r="F51" s="90" t="str">
        <f>IF(Data!$B55="","",IF(Data!AB55="Polymer",Data!AE55,"-"))</f>
        <v>HDPE (HDPE)</v>
      </c>
      <c r="G51" s="401">
        <f>IF(Data!$B55="","",IF(Data!AB55="Polymer",IF(OR(Data!AP55="N/R",Data!AP55=""),"N/R",Data!AP55*1000),"-"))</f>
        <v>2.1900000000000253</v>
      </c>
      <c r="H51" s="408">
        <f>IF(Data!$B55="","",IF(Data!AB55="Polymer",IF(OR(D51="N/R",D51=""),"N/R",D51/1000),"-"))</f>
        <v>4.7892020734371457</v>
      </c>
      <c r="I51" s="541" t="str">
        <f>IF(Data!$B55="","",IF(Data!AB55="Polymer",IF(OR(Data!T55="N/R",Data!T55=""),"N/R",Data!T55/1000),"-"))</f>
        <v>N/R</v>
      </c>
      <c r="J51" s="542">
        <f>IF(Data!$B55="","",IF(Data!AB55="Polymer",IF(OR(Measurements!P52="N/R",Measurements!P52=""),"N/R",Measurements!P52),"-"))</f>
        <v>28.2</v>
      </c>
      <c r="K51" s="542">
        <f>IF(Data!$B55="","",IF(Data!AB55="Polymer",IF(OR(Measurements!Q52="N/R",Measurements!Q52=""),"N/R",Measurements!Q52/(10*10)),"-"))</f>
        <v>6.2236468695000005</v>
      </c>
      <c r="L51" s="542">
        <f>IF(Data!$B55="","",IF(Data!AB55="Polymer",IF(OR(Measurements!X52="N/R",Measurements!X52=""),"N/R",Measurements!X52/(10*10)),"-"))</f>
        <v>10.251542240300001</v>
      </c>
      <c r="M51" s="542">
        <f>IF(Data!$B55="","",IF(Data!AB55="Polymer",IF(OR(Measurements!AI52="N/R",Measurements!AI52=""),"N/R",Measurements!AI52),"-"))</f>
        <v>4.6749999999999998</v>
      </c>
      <c r="N51" s="544">
        <f>IF(Data!$B55="","",IF(Data!AB55="Polymer",IF(OR(Measurements!M52="N/R",Measurements!M52=""),"N/R",Measurements!M52),"-"))</f>
        <v>6.19</v>
      </c>
      <c r="O51" s="544">
        <f>IF(Data!$B55="","",IF(Data!AB55="Polymer",IF(OR(J51="N/R",J51=""),"N/R",J51/N51),"-"))</f>
        <v>4.5557350565428107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G51" s="489">
        <v>33</v>
      </c>
      <c r="AH51" s="123">
        <f>Data!S38</f>
        <v>5359.3337719292995</v>
      </c>
      <c r="AI51" s="474">
        <f>Data!AP38</f>
        <v>3.1799999999999606E-3</v>
      </c>
      <c r="AJ51" s="462">
        <f t="shared" si="2"/>
        <v>5.3593337719292995</v>
      </c>
      <c r="AK51" s="462">
        <f t="shared" si="3"/>
        <v>3.1799999999999606</v>
      </c>
      <c r="AL51" s="106">
        <v>4050</v>
      </c>
      <c r="AM51" s="462">
        <f t="shared" si="4"/>
        <v>4.05</v>
      </c>
      <c r="AN51" s="558"/>
      <c r="AO51" s="489">
        <v>49</v>
      </c>
      <c r="AP51" s="123">
        <f>Data!S54</f>
        <v>5470.2635107987107</v>
      </c>
      <c r="AQ51" s="474">
        <f>Data!AP54</f>
        <v>2.8299999999999992E-3</v>
      </c>
      <c r="AR51" s="462">
        <f>AP51/1000</f>
        <v>5.470263510798711</v>
      </c>
      <c r="AS51" s="462">
        <f>AQ51*1000</f>
        <v>2.8299999999999992</v>
      </c>
      <c r="AT51" s="106"/>
      <c r="AU51" s="462"/>
      <c r="AW51" t="str">
        <f>Data!A38</f>
        <v>HVIL001-UHMWPE-RT-AL-S10.0-0033</v>
      </c>
      <c r="AZ51">
        <f>Data!S38</f>
        <v>5359.3337719292995</v>
      </c>
    </row>
    <row r="52" spans="1:52">
      <c r="A52" s="90">
        <v>51</v>
      </c>
      <c r="B52" s="98" t="str">
        <f>IF(Data!$B56="","",IF(Data!AB56="Polymer",Data!A56,"Not Polymer"))</f>
        <v>HVIL003-PMMA-RT-AL-S04.0-0051</v>
      </c>
      <c r="C52" s="532">
        <f>IF(B52="","",Data!B56)</f>
        <v>44050.614583333336</v>
      </c>
      <c r="D52" s="399">
        <f>IF(Data!$B56="","",IF(Data!AB56="Polymer",Data!S56,"-"))</f>
        <v>6526.9837037316811</v>
      </c>
      <c r="E52" s="399" t="str">
        <f>IF(Data!$B56="","",IF(Data!AB56="Polymer",Data!I56,"-"))</f>
        <v>Aluminum (AL)</v>
      </c>
      <c r="F52" s="90" t="str">
        <f>IF(Data!$B56="","",IF(Data!AB56="Polymer",Data!AE56,"-"))</f>
        <v>PMMA (PMMA)</v>
      </c>
      <c r="G52" s="401">
        <f>IF(Data!$B56="","",IF(Data!AB56="Polymer",IF(OR(Data!AP56="N/R",Data!AP56=""),"N/R",Data!AP56*1000),"-"))</f>
        <v>0.44000000000002371</v>
      </c>
      <c r="H52" s="408">
        <f>IF(Data!$B56="","",IF(Data!AB56="Polymer",IF(OR(D52="N/R",D52=""),"N/R",D52/1000),"-"))</f>
        <v>6.5269837037316814</v>
      </c>
      <c r="I52" s="541" t="str">
        <f>IF(Data!$B56="","",IF(Data!AB56="Polymer",IF(OR(Data!T56="N/R",Data!T56=""),"N/R",Data!T56/1000),"-"))</f>
        <v>N/R</v>
      </c>
      <c r="J52" s="542" t="str">
        <f>IF(Data!$B56="","",IF(Data!AB56="Polymer",IF(OR(Measurements!P53="N/R",Measurements!P53=""),"N/R",Measurements!P53),"-"))</f>
        <v>N/R</v>
      </c>
      <c r="K52" s="542" t="str">
        <f>IF(Data!$B56="","",IF(Data!AB56="Polymer",IF(OR(Measurements!Q53="N/R",Measurements!Q53=""),"N/R",Measurements!Q53/(10*10)),"-"))</f>
        <v>N/R</v>
      </c>
      <c r="L52" s="542" t="str">
        <f>IF(Data!$B56="","",IF(Data!AB56="Polymer",IF(OR(Measurements!X53="N/R",Measurements!X53=""),"N/R",Measurements!X53/(10*10)),"-"))</f>
        <v>N/R</v>
      </c>
      <c r="M52" s="542" t="str">
        <f>IF(Data!$B56="","",IF(Data!AB56="Polymer",IF(OR(Measurements!AI53="N/R",Measurements!AI53=""),"N/R",Measurements!AI53),"-"))</f>
        <v>N/R</v>
      </c>
      <c r="N52" s="544" t="str">
        <f>IF(Data!$B56="","",IF(Data!AB56="Polymer",IF(OR(Measurements!M53="N/R",Measurements!M53=""),"N/R",Measurements!M53),"-"))</f>
        <v>N/R</v>
      </c>
      <c r="O52" s="544" t="str">
        <f>IF(Data!$B56="","",IF(Data!AB56="Polymer",IF(OR(J52="N/R",J52=""),"N/R",J52/N52),"-"))</f>
        <v>N/R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G52" s="491">
        <v>38</v>
      </c>
      <c r="AH52" s="492">
        <f>Data!S43</f>
        <v>5612.21250365776</v>
      </c>
      <c r="AI52" s="493">
        <f>Data!AP43</f>
        <v>3.4100000000000241E-3</v>
      </c>
      <c r="AJ52" s="470">
        <f>AH52/1000</f>
        <v>5.6122125036577604</v>
      </c>
      <c r="AK52" s="470">
        <f>AI52*1000</f>
        <v>3.4100000000000241</v>
      </c>
      <c r="AL52" s="469">
        <v>4500</v>
      </c>
      <c r="AM52" s="470">
        <f t="shared" si="4"/>
        <v>4.5</v>
      </c>
      <c r="AN52" s="559"/>
      <c r="AO52" s="491"/>
      <c r="AP52" s="492"/>
      <c r="AQ52" s="493"/>
      <c r="AR52" s="470"/>
      <c r="AS52" s="470"/>
      <c r="AT52" s="469"/>
      <c r="AU52" s="470"/>
    </row>
    <row r="53" spans="1:52">
      <c r="A53" s="90">
        <v>52</v>
      </c>
      <c r="B53" s="98" t="str">
        <f>IF(Data!$B57="","",IF(Data!AB57="Polymer",Data!A57,"Not Polymer"))</f>
        <v>HVIL003-PMMA-RT-AL-S04.0-0052</v>
      </c>
      <c r="C53" s="532">
        <f>IF(B53="","",Data!B57)</f>
        <v>44050.677083333336</v>
      </c>
      <c r="D53" s="399">
        <f>IF(Data!$B57="","",IF(Data!AB57="Polymer",Data!S57,"-"))</f>
        <v>6107.102702942585</v>
      </c>
      <c r="E53" s="399" t="str">
        <f>IF(Data!$B57="","",IF(Data!AB57="Polymer",Data!I57,"-"))</f>
        <v>Aluminum (AL)</v>
      </c>
      <c r="F53" s="90" t="str">
        <f>IF(Data!$B57="","",IF(Data!AB57="Polymer",Data!AE57,"-"))</f>
        <v>PMMA (PMMA)</v>
      </c>
      <c r="G53" s="401" t="str">
        <f>IF(Data!$B57="","",IF(Data!AB57="Polymer",IF(OR(Data!AP57="N/R",Data!AP57=""),"N/R",Data!AP57*1000),"-"))</f>
        <v>N/R</v>
      </c>
      <c r="H53" s="408">
        <f>IF(Data!$B57="","",IF(Data!AB57="Polymer",IF(OR(D53="N/R",D53=""),"N/R",D53/1000),"-"))</f>
        <v>6.1071027029425853</v>
      </c>
      <c r="I53" s="541" t="str">
        <f>IF(Data!$B57="","",IF(Data!AB57="Polymer",IF(OR(Data!T57="N/R",Data!T57=""),"N/R",Data!T57/1000),"-"))</f>
        <v>N/R</v>
      </c>
      <c r="J53" s="542" t="str">
        <f>IF(Data!$B57="","",IF(Data!AB57="Polymer",IF(OR(Measurements!P54="N/R",Measurements!P54=""),"N/R",Measurements!P54),"-"))</f>
        <v>N/R</v>
      </c>
      <c r="K53" s="542" t="str">
        <f>IF(Data!$B57="","",IF(Data!AB57="Polymer",IF(OR(Measurements!Q54="N/R",Measurements!Q54=""),"N/R",Measurements!Q54/(10*10)),"-"))</f>
        <v>N/R</v>
      </c>
      <c r="L53" s="542" t="str">
        <f>IF(Data!$B57="","",IF(Data!AB57="Polymer",IF(OR(Measurements!X54="N/R",Measurements!X54=""),"N/R",Measurements!X54/(10*10)),"-"))</f>
        <v>N/R</v>
      </c>
      <c r="M53" s="542" t="str">
        <f>IF(Data!$B57="","",IF(Data!AB57="Polymer",IF(OR(Measurements!AI54="N/R",Measurements!AI54=""),"N/R",Measurements!AI54),"-"))</f>
        <v>N/R</v>
      </c>
      <c r="N53" s="544" t="str">
        <f>IF(Data!$B57="","",IF(Data!AB57="Polymer",IF(OR(Measurements!M54="N/R",Measurements!M54=""),"N/R",Measurements!M54),"-"))</f>
        <v>N/R</v>
      </c>
      <c r="O53" s="544" t="str">
        <f>IF(Data!$B57="","",IF(Data!AB57="Polymer",IF(OR(J53="N/R",J53=""),"N/R",J53/N53),"-"))</f>
        <v>N/R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G53" s="106">
        <v>61</v>
      </c>
      <c r="AH53" s="123">
        <f>Data!S66</f>
        <v>6342.4446991147406</v>
      </c>
      <c r="AI53" s="474">
        <f>Data!AP66</f>
        <v>3.7000000000000366E-3</v>
      </c>
      <c r="AJ53" s="462">
        <f>AH53/1000</f>
        <v>6.3424446991147407</v>
      </c>
      <c r="AK53" s="106">
        <f>AI53*1000</f>
        <v>3.7000000000000366</v>
      </c>
      <c r="AL53" s="106"/>
      <c r="AM53" s="106"/>
      <c r="AN53" s="106"/>
      <c r="AO53" s="467">
        <v>59</v>
      </c>
      <c r="AP53" s="455">
        <f>Data!S64</f>
        <v>6371.7300440707077</v>
      </c>
      <c r="AQ53" s="474">
        <f>Data!AP64</f>
        <v>3.1199999999999006E-3</v>
      </c>
      <c r="AR53" s="462">
        <f>AP53/1000</f>
        <v>6.3717300440707074</v>
      </c>
      <c r="AS53" s="462">
        <f>AQ53*1000</f>
        <v>3.1199999999999006</v>
      </c>
      <c r="AT53" s="106"/>
      <c r="AU53" s="106"/>
    </row>
    <row r="54" spans="1:52">
      <c r="A54" s="90">
        <v>53</v>
      </c>
      <c r="B54" s="98" t="str">
        <f>IF(Data!$B58="","",IF(Data!AB58="Polymer",Data!A58,"Not Polymer"))</f>
        <v>HVIL001-HDPE-RT-AL-S10.0-0053</v>
      </c>
      <c r="C54" s="532">
        <f>IF(B54="","",Data!B58)</f>
        <v>44051.5625</v>
      </c>
      <c r="D54" s="399">
        <f>IF(Data!$B58="","",IF(Data!AB58="Polymer",Data!S58,"-"))</f>
        <v>3843.6452762810304</v>
      </c>
      <c r="E54" s="399" t="str">
        <f>IF(Data!$B58="","",IF(Data!AB58="Polymer",Data!I58,"-"))</f>
        <v>Aluminum (AL)</v>
      </c>
      <c r="F54" s="90" t="str">
        <f>IF(Data!$B58="","",IF(Data!AB58="Polymer",Data!AE58,"-"))</f>
        <v>HDPE (HDPE)</v>
      </c>
      <c r="G54" s="401">
        <f>IF(Data!$B58="","",IF(Data!AB58="Polymer",IF(OR(Data!AP58="N/R",Data!AP58=""),"N/R",Data!AP58*1000),"-"))</f>
        <v>1.7700000000000493</v>
      </c>
      <c r="H54" s="408">
        <f>IF(Data!$B58="","",IF(Data!AB58="Polymer",IF(OR(D54="N/R",D54=""),"N/R",D54/1000),"-"))</f>
        <v>3.8436452762810305</v>
      </c>
      <c r="I54" s="541" t="str">
        <f>IF(Data!$B58="","",IF(Data!AB58="Polymer",IF(OR(Data!T58="N/R",Data!T58=""),"N/R",Data!T58/1000),"-"))</f>
        <v>N/R</v>
      </c>
      <c r="J54" s="542">
        <f>IF(Data!$B58="","",IF(Data!AB58="Polymer",IF(OR(Measurements!P55="N/R",Measurements!P55=""),"N/R",Measurements!P55),"-"))</f>
        <v>25.95</v>
      </c>
      <c r="K54" s="542">
        <f>IF(Data!$B58="","",IF(Data!AB58="Polymer",IF(OR(Measurements!Q55="N/R",Measurements!Q55=""),"N/R",Measurements!Q55/(10*10)),"-"))</f>
        <v>5.2297813110749996</v>
      </c>
      <c r="L54" s="542">
        <f>IF(Data!$B58="","",IF(Data!AB58="Polymer",IF(OR(Measurements!X55="N/R",Measurements!X55=""),"N/R",Measurements!X55/(10*10)),"-"))</f>
        <v>9.2940790706024998</v>
      </c>
      <c r="M54" s="542">
        <f>IF(Data!$B58="","",IF(Data!AB58="Polymer",IF(OR(Measurements!AI55="N/R",Measurements!AI55=""),"N/R",Measurements!AI55),"-"))</f>
        <v>4.1574999999999998</v>
      </c>
      <c r="N54" s="544">
        <f>IF(Data!$B58="","",IF(Data!AB58="Polymer",IF(OR(Measurements!M55="N/R",Measurements!M55=""),"N/R",Measurements!M55),"-"))</f>
        <v>6.18</v>
      </c>
      <c r="O54" s="544">
        <f>IF(Data!$B58="","",IF(Data!AB58="Polymer",IF(OR(J54="N/R",J54=""),"N/R",J54/N54),"-"))</f>
        <v>4.1990291262135919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I54" s="560"/>
      <c r="AW54" t="str">
        <f>Data!A41</f>
        <v>HVIL001-UHMWPE-RT-AL-S10.0-0036</v>
      </c>
      <c r="AZ54">
        <f>Data!S41</f>
        <v>5253.377212341612</v>
      </c>
    </row>
    <row r="55" spans="1:52">
      <c r="A55" s="90">
        <v>54</v>
      </c>
      <c r="B55" s="98" t="str">
        <f>IF(Data!$B59="","",IF(Data!AB59="Polymer",Data!A59,"Not Polymer"))</f>
        <v>HVIL001-HDPE-RT-AL-S10.0-0054</v>
      </c>
      <c r="C55" s="532">
        <f>IF(B55="","",Data!B59)</f>
        <v>44053.472222222219</v>
      </c>
      <c r="D55" s="399">
        <f>IF(Data!$B59="","",IF(Data!AB59="Polymer",Data!S59,"-"))</f>
        <v>2484.618904555874</v>
      </c>
      <c r="E55" s="399" t="str">
        <f>IF(Data!$B59="","",IF(Data!AB59="Polymer",Data!I59,"-"))</f>
        <v>Aluminum (AL)</v>
      </c>
      <c r="F55" s="90" t="str">
        <f>IF(Data!$B59="","",IF(Data!AB59="Polymer",Data!AE59,"-"))</f>
        <v>HDPE (HDPE)</v>
      </c>
      <c r="G55" s="401">
        <f>IF(Data!$B59="","",IF(Data!AB59="Polymer",IF(OR(Data!AP59="N/R",Data!AP59=""),"N/R",Data!AP59*1000),"-"))</f>
        <v>1.0799999999999699</v>
      </c>
      <c r="H55" s="408">
        <f>IF(Data!$B59="","",IF(Data!AB59="Polymer",IF(OR(D55="N/R",D55=""),"N/R",D55/1000),"-"))</f>
        <v>2.484618904555874</v>
      </c>
      <c r="I55" s="541" t="str">
        <f>IF(Data!$B59="","",IF(Data!AB59="Polymer",IF(OR(Data!T59="N/R",Data!T59=""),"N/R",Data!T59/1000),"-"))</f>
        <v>N/R</v>
      </c>
      <c r="J55" s="542">
        <f>IF(Data!$B59="","",IF(Data!AB59="Polymer",IF(OR(Measurements!P56="N/R",Measurements!P56=""),"N/R",Measurements!P56),"-"))</f>
        <v>20.71</v>
      </c>
      <c r="K55" s="542">
        <f>IF(Data!$B59="","",IF(Data!AB59="Polymer",IF(OR(Measurements!Q56="N/R",Measurements!Q56=""),"N/R",Measurements!Q56/(10*10)),"-"))</f>
        <v>3.3539630547950003</v>
      </c>
      <c r="L55" s="542">
        <f>IF(Data!$B59="","",IF(Data!AB59="Polymer",IF(OR(Measurements!X56="N/R",Measurements!X56=""),"N/R",Measurements!X56/(10*10)),"-"))</f>
        <v>5.9815873599999998</v>
      </c>
      <c r="M55" s="542">
        <f>IF(Data!$B59="","",IF(Data!AB59="Polymer",IF(OR(Measurements!AI56="N/R",Measurements!AI56=""),"N/R",Measurements!AI56),"-"))</f>
        <v>3.835</v>
      </c>
      <c r="N55" s="544">
        <f>IF(Data!$B59="","",IF(Data!AB59="Polymer",IF(OR(Measurements!M56="N/R",Measurements!M56=""),"N/R",Measurements!M56),"-"))</f>
        <v>6.1774999999999993</v>
      </c>
      <c r="O55" s="544">
        <f>IF(Data!$B59="","",IF(Data!AB59="Polymer",IF(OR(J55="N/R",J55=""),"N/R",J55/N55),"-"))</f>
        <v>3.3524888709024689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W55" t="str">
        <f>Data!A42</f>
        <v>HVIL001-UHMWPE-RT-AL-S10.0-0037</v>
      </c>
      <c r="AZ55">
        <f>Data!S42</f>
        <v>6035.1664319858664</v>
      </c>
    </row>
    <row r="56" spans="1:52">
      <c r="A56" s="90">
        <v>55</v>
      </c>
      <c r="B56" s="98" t="str">
        <f>IF(Data!$B60="","",IF(Data!AB60="Polymer",Data!A60,"Not Polymer"))</f>
        <v>HVIL003-PMMA-RT-ST-S10.0-0055</v>
      </c>
      <c r="C56" s="532">
        <f>IF(B56="","",Data!B60)</f>
        <v>44054.4375</v>
      </c>
      <c r="D56" s="399">
        <f>IF(Data!$B60="","",IF(Data!AB60="Polymer",Data!S60,"-"))</f>
        <v>1900.4031280812858</v>
      </c>
      <c r="E56" s="399" t="str">
        <f>IF(Data!$B60="","",IF(Data!AB60="Polymer",Data!I60,"-"))</f>
        <v>Steel (ST)</v>
      </c>
      <c r="F56" s="90" t="str">
        <f>IF(Data!$B60="","",IF(Data!AB60="Polymer",Data!AE60,"-"))</f>
        <v>PMMA (PMMA)</v>
      </c>
      <c r="G56" s="401">
        <f>IF(Data!$B60="","",IF(Data!AB60="Polymer",IF(OR(Data!AP60="N/R",Data!AP60=""),"N/R",Data!AP60*1000),"-"))</f>
        <v>3.3199999999999896</v>
      </c>
      <c r="H56" s="408">
        <f>IF(Data!$B60="","",IF(Data!AB60="Polymer",IF(OR(D56="N/R",D56=""),"N/R",D56/1000),"-"))</f>
        <v>1.9004031280812859</v>
      </c>
      <c r="I56" s="541" t="str">
        <f>IF(Data!$B60="","",IF(Data!AB60="Polymer",IF(OR(Data!T60="N/R",Data!T60=""),"N/R",Data!T60/1000),"-"))</f>
        <v>N/R</v>
      </c>
      <c r="J56" s="542">
        <f>IF(Data!$B60="","",IF(Data!AB60="Polymer",IF(OR(Measurements!P57="N/R",Measurements!P57=""),"N/R",Measurements!P57),"-"))</f>
        <v>9.11</v>
      </c>
      <c r="K56" s="542">
        <f>IF(Data!$B60="","",IF(Data!AB60="Polymer",IF(OR(Measurements!Q57="N/R",Measurements!Q57=""),"N/R",Measurements!Q57/(10*10)),"-"))</f>
        <v>0.60459506851249989</v>
      </c>
      <c r="L56" s="542">
        <f>IF(Data!$B60="","",IF(Data!AB60="Polymer",IF(OR(Measurements!X57="N/R",Measurements!X57=""),"N/R",Measurements!X57/(10*10)),"-"))</f>
        <v>13.576195045792501</v>
      </c>
      <c r="M56" s="542" t="str">
        <f>IF(Data!$B60="","",IF(Data!AB60="Polymer",IF(OR(Measurements!AI57="N/R",Measurements!AI57=""),"N/R",Measurements!AI57),"-"))</f>
        <v>N/R</v>
      </c>
      <c r="N56" s="544">
        <f>IF(Data!$B60="","",IF(Data!AB60="Polymer",IF(OR(Measurements!M57="N/R",Measurements!M57=""),"N/R",Measurements!M57),"-"))</f>
        <v>5.76</v>
      </c>
      <c r="O56" s="544">
        <f>IF(Data!$B60="","",IF(Data!AB60="Polymer",IF(OR(J56="N/R",J56=""),"N/R",J56/N56),"-"))</f>
        <v>1.5815972222222221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W56" t="str">
        <f>Data!A43</f>
        <v>HVIL001-UHMWPE-RT-AL-S10.0-0038</v>
      </c>
      <c r="AZ56">
        <f>Data!S43</f>
        <v>5612.21250365776</v>
      </c>
    </row>
    <row r="57" spans="1:52">
      <c r="A57" s="90">
        <v>56</v>
      </c>
      <c r="B57" s="98" t="str">
        <f>IF(Data!$B61="","",IF(Data!AB61="Polymer",Data!A61,"Not Polymer"))</f>
        <v>Not Polymer</v>
      </c>
      <c r="C57" s="532">
        <f>IF(B57="","",Data!B61)</f>
        <v>44054.520833333336</v>
      </c>
      <c r="D57" s="399" t="str">
        <f>IF(Data!$B61="","",IF(Data!AB61="Polymer",Data!S61,"-"))</f>
        <v>-</v>
      </c>
      <c r="E57" s="399" t="str">
        <f>IF(Data!$B61="","",IF(Data!AB61="Polymer",Data!I61,"-"))</f>
        <v>-</v>
      </c>
      <c r="F57" s="90" t="str">
        <f>IF(Data!$B61="","",IF(Data!AB61="Polymer",Data!AE61,"-"))</f>
        <v>-</v>
      </c>
      <c r="G57" s="401" t="str">
        <f>IF(Data!$B61="","",IF(Data!AB61="Polymer",IF(OR(Data!AP61="N/R",Data!AP61=""),"N/R",Data!AP61*1000),"-"))</f>
        <v>-</v>
      </c>
      <c r="H57" s="408" t="str">
        <f>IF(Data!$B61="","",IF(Data!AB61="Polymer",IF(OR(D57="N/R",D57=""),"N/R",D57/1000),"-"))</f>
        <v>-</v>
      </c>
      <c r="I57" s="541" t="str">
        <f>IF(Data!$B61="","",IF(Data!AB61="Polymer",IF(OR(Data!T61="N/R",Data!T61=""),"N/R",Data!T61/1000),"-"))</f>
        <v>-</v>
      </c>
      <c r="J57" s="542" t="str">
        <f>IF(Data!$B61="","",IF(Data!AB61="Polymer",IF(OR(Measurements!P58="N/R",Measurements!P58=""),"N/R",Measurements!P58),"-"))</f>
        <v>-</v>
      </c>
      <c r="K57" s="542" t="str">
        <f>IF(Data!$B61="","",IF(Data!AB61="Polymer",IF(OR(Measurements!Q58="N/R",Measurements!Q58=""),"N/R",Measurements!Q58/(10*10)),"-"))</f>
        <v>-</v>
      </c>
      <c r="L57" s="542" t="str">
        <f>IF(Data!$B61="","",IF(Data!AB61="Polymer",IF(OR(Measurements!X58="N/R",Measurements!X58=""),"N/R",Measurements!X58/(10*10)),"-"))</f>
        <v>-</v>
      </c>
      <c r="M57" s="542" t="str">
        <f>IF(Data!$B61="","",IF(Data!AB61="Polymer",IF(OR(Measurements!AI58="N/R",Measurements!AI58=""),"N/R",Measurements!AI58),"-"))</f>
        <v>-</v>
      </c>
      <c r="N57" s="544" t="str">
        <f>IF(Data!$B61="","",IF(Data!AB61="Polymer",IF(OR(Measurements!M58="N/R",Measurements!M58=""),"N/R",Measurements!M58),"-"))</f>
        <v>-</v>
      </c>
      <c r="O57" s="544" t="str">
        <f>IF(Data!$B61="","",IF(Data!AB61="Polymer",IF(OR(J57="N/R",J57=""),"N/R",J57/N57),"-"))</f>
        <v>-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W57" t="str">
        <f>Data!A44</f>
        <v>HVIL001-UHMWPE-RT-AL-S10.0-0039</v>
      </c>
      <c r="AZ57">
        <f>Data!S44</f>
        <v>5378.6938426487859</v>
      </c>
    </row>
    <row r="58" spans="1:52">
      <c r="A58" s="90">
        <v>57</v>
      </c>
      <c r="B58" s="98" t="str">
        <f>IF(Data!$B62="","",IF(Data!AB62="Polymer",Data!A62,"Not Polymer"))</f>
        <v>HVIL004-PMMA-RT-NY-S04.0-0057</v>
      </c>
      <c r="C58" s="532">
        <f>IF(B58="","",Data!B62)</f>
        <v>44054.604166666664</v>
      </c>
      <c r="D58" s="399">
        <f>IF(Data!$B62="","",IF(Data!AB62="Polymer",Data!S62,"-"))</f>
        <v>2523.9047431237059</v>
      </c>
      <c r="E58" s="399" t="str">
        <f>IF(Data!$B62="","",IF(Data!AB62="Polymer",Data!I62,"-"))</f>
        <v>Nylon (NY)</v>
      </c>
      <c r="F58" s="90" t="str">
        <f>IF(Data!$B62="","",IF(Data!AB62="Polymer",Data!AE62,"-"))</f>
        <v>PMMA (PMMA)</v>
      </c>
      <c r="G58" s="401">
        <f>IF(Data!$B62="","",IF(Data!AB62="Polymer",IF(OR(Data!AP62="N/R",Data!AP62=""),"N/R",Data!AP62*1000),"-"))</f>
        <v>7.999999999999674E-2</v>
      </c>
      <c r="H58" s="408">
        <f>IF(Data!$B62="","",IF(Data!AB62="Polymer",IF(OR(D58="N/R",D58=""),"N/R",D58/1000),"-"))</f>
        <v>2.5239047431237061</v>
      </c>
      <c r="I58" s="541" t="str">
        <f>IF(Data!$B62="","",IF(Data!AB62="Polymer",IF(OR(Data!T62="N/R",Data!T62=""),"N/R",Data!T62/1000),"-"))</f>
        <v>N/R</v>
      </c>
      <c r="J58" s="542">
        <f>IF(Data!$B62="","",IF(Data!AB62="Polymer",IF(OR(Measurements!P59="N/R",Measurements!P59=""),"N/R",Measurements!P59),"-"))</f>
        <v>4.5599999999999996</v>
      </c>
      <c r="K58" s="542">
        <f>IF(Data!$B62="","",IF(Data!AB62="Polymer",IF(OR(Measurements!Q59="N/R",Measurements!Q59=""),"N/R",Measurements!Q59/(10*10)),"-"))</f>
        <v>0.16044728447999998</v>
      </c>
      <c r="L58" s="542">
        <f>IF(Data!$B62="","",IF(Data!AB62="Polymer",IF(OR(Measurements!X59="N/R",Measurements!X59=""),"N/R",Measurements!X59/(10*10)),"-"))</f>
        <v>0.68842132908500009</v>
      </c>
      <c r="M58" s="542" t="str">
        <f>IF(Data!$B62="","",IF(Data!AB62="Polymer",IF(OR(Measurements!AI59="N/R",Measurements!AI59=""),"N/R",Measurements!AI59),"-"))</f>
        <v>N/R</v>
      </c>
      <c r="N58" s="544">
        <f>IF(Data!$B62="","",IF(Data!AB62="Polymer",IF(OR(Measurements!M59="N/R",Measurements!M59=""),"N/R",Measurements!M59),"-"))</f>
        <v>1.4124999999999999</v>
      </c>
      <c r="O58" s="544">
        <f>IF(Data!$B62="","",IF(Data!AB62="Polymer",IF(OR(J58="N/R",J58=""),"N/R",J58/N58),"-"))</f>
        <v>3.2283185840707964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52">
      <c r="A59" s="90">
        <v>58</v>
      </c>
      <c r="B59" s="98" t="str">
        <f>IF(Data!$B63="","",IF(Data!AB63="Polymer",Data!A63,"Not Polymer"))</f>
        <v>HVIL001-HDPE-RT-AL-S10.0-0058</v>
      </c>
      <c r="C59" s="532">
        <f>IF(B59="","",Data!B63)</f>
        <v>44055.416666666664</v>
      </c>
      <c r="D59" s="399">
        <f>IF(Data!$B63="","",IF(Data!AB63="Polymer",Data!S63,"-"))</f>
        <v>6141.731761175567</v>
      </c>
      <c r="E59" s="399" t="str">
        <f>IF(Data!$B63="","",IF(Data!AB63="Polymer",Data!I63,"-"))</f>
        <v>Aluminum (AL)</v>
      </c>
      <c r="F59" s="90" t="str">
        <f>IF(Data!$B63="","",IF(Data!AB63="Polymer",Data!AE63,"-"))</f>
        <v>HDPE (HDPE)</v>
      </c>
      <c r="G59" s="401" t="str">
        <f>IF(Data!$B63="","",IF(Data!AB63="Polymer",IF(OR(Data!AP63="N/R",Data!AP63=""),"N/R",Data!AP63*1000),"-"))</f>
        <v>N/R</v>
      </c>
      <c r="H59" s="408">
        <f>IF(Data!$B63="","",IF(Data!AB63="Polymer",IF(OR(D59="N/R",D59=""),"N/R",D59/1000),"-"))</f>
        <v>6.1417317611755671</v>
      </c>
      <c r="I59" s="541" t="str">
        <f>IF(Data!$B63="","",IF(Data!AB63="Polymer",IF(OR(Data!T63="N/R",Data!T63=""),"N/R",Data!T63/1000),"-"))</f>
        <v>N/R</v>
      </c>
      <c r="J59" s="542" t="str">
        <f>IF(Data!$B63="","",IF(Data!AB63="Polymer",IF(OR(Measurements!P60="N/R",Measurements!P60=""),"N/R",Measurements!P60),"-"))</f>
        <v>N/R</v>
      </c>
      <c r="K59" s="542" t="str">
        <f>IF(Data!$B63="","",IF(Data!AB63="Polymer",IF(OR(Measurements!Q60="N/R",Measurements!Q60=""),"N/R",Measurements!Q60/(10*10)),"-"))</f>
        <v>N/R</v>
      </c>
      <c r="L59" s="542" t="str">
        <f>IF(Data!$B63="","",IF(Data!AB63="Polymer",IF(OR(Measurements!X60="N/R",Measurements!X60=""),"N/R",Measurements!X60/(10*10)),"-"))</f>
        <v>N/R</v>
      </c>
      <c r="M59" s="542" t="str">
        <f>IF(Data!$B63="","",IF(Data!AB63="Polymer",IF(OR(Measurements!AI60="N/R",Measurements!AI60=""),"N/R",Measurements!AI60),"-"))</f>
        <v>N/R</v>
      </c>
      <c r="N59" s="544" t="str">
        <f>IF(Data!$B63="","",IF(Data!AB63="Polymer",IF(OR(Measurements!M60="N/R",Measurements!M60=""),"N/R",Measurements!M60),"-"))</f>
        <v>N/R</v>
      </c>
      <c r="O59" s="544" t="str">
        <f>IF(Data!$B63="","",IF(Data!AB63="Polymer",IF(OR(J59="N/R",J59=""),"N/R",J59/N59),"-"))</f>
        <v>N/R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W59" t="str">
        <f>Data!A46</f>
        <v>HVIL001-HDPE-RT-AL-S10.0-0041</v>
      </c>
    </row>
    <row r="60" spans="1:52">
      <c r="A60" s="90">
        <v>59</v>
      </c>
      <c r="B60" s="98" t="str">
        <f>IF(Data!$B64="","",IF(Data!AB64="Polymer",Data!A64,"Not Polymer"))</f>
        <v>HVIL001-HDPE-RT-AL-S10.0-0059</v>
      </c>
      <c r="C60" s="532">
        <f>IF(B60="","",Data!B64)</f>
        <v>44055.479166666664</v>
      </c>
      <c r="D60" s="399">
        <f>IF(Data!$B64="","",IF(Data!AB64="Polymer",Data!S64,"-"))</f>
        <v>6371.7300440707077</v>
      </c>
      <c r="E60" s="399" t="str">
        <f>IF(Data!$B64="","",IF(Data!AB64="Polymer",Data!I64,"-"))</f>
        <v>Aluminum (AL)</v>
      </c>
      <c r="F60" s="90" t="str">
        <f>IF(Data!$B64="","",IF(Data!AB64="Polymer",Data!AE64,"-"))</f>
        <v>HDPE (HDPE)</v>
      </c>
      <c r="G60" s="401">
        <f>IF(Data!$B64="","",IF(Data!AB64="Polymer",IF(OR(Data!AP64="N/R",Data!AP64=""),"N/R",Data!AP64*1000),"-"))</f>
        <v>3.1199999999999006</v>
      </c>
      <c r="H60" s="408">
        <f>IF(Data!$B64="","",IF(Data!AB64="Polymer",IF(OR(D60="N/R",D60=""),"N/R",D60/1000),"-"))</f>
        <v>6.3717300440707074</v>
      </c>
      <c r="I60" s="541" t="str">
        <f>IF(Data!$B64="","",IF(Data!AB64="Polymer",IF(OR(Data!T64="N/R",Data!T64=""),"N/R",Data!T64/1000),"-"))</f>
        <v>N/R</v>
      </c>
      <c r="J60" s="542">
        <f>IF(Data!$B64="","",IF(Data!AB64="Polymer",IF(OR(Measurements!P61="N/R",Measurements!P61=""),"N/R",Measurements!P61),"-"))</f>
        <v>32.36</v>
      </c>
      <c r="K60" s="542">
        <f>IF(Data!$B64="","",IF(Data!AB64="Polymer",IF(OR(Measurements!Q61="N/R",Measurements!Q61=""),"N/R",Measurements!Q61/(10*10)),"-"))</f>
        <v>8.1481974698600013</v>
      </c>
      <c r="L60" s="542">
        <f>IF(Data!$B64="","",IF(Data!AB64="Polymer",IF(OR(Measurements!X61="N/R",Measurements!X61=""),"N/R",Measurements!X61/(10*10)),"-"))</f>
        <v>13.006536028875001</v>
      </c>
      <c r="M60" s="542">
        <f>IF(Data!$B64="","",IF(Data!AB64="Polymer",IF(OR(Measurements!AI61="N/R",Measurements!AI61=""),"N/R",Measurements!AI61),"-"))</f>
        <v>4.5775000000000006</v>
      </c>
      <c r="N60" s="544">
        <f>IF(Data!$B64="","",IF(Data!AB64="Polymer",IF(OR(Measurements!M61="N/R",Measurements!M61=""),"N/R",Measurements!M61),"-"))</f>
        <v>6.2725</v>
      </c>
      <c r="O60" s="544">
        <f>IF(Data!$B64="","",IF(Data!AB64="Polymer",IF(OR(J60="N/R",J60=""),"N/R",J60/N60),"-"))</f>
        <v>5.1590275009964133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W60" t="str">
        <f>Data!A47</f>
        <v>HVIL002-HPC-RT-S2-S10.0-0042</v>
      </c>
    </row>
    <row r="61" spans="1:52">
      <c r="A61" s="90">
        <v>60</v>
      </c>
      <c r="B61" s="98" t="str">
        <f>IF(Data!$B65="","",IF(Data!AB65="Polymer",Data!A65,"Not Polymer"))</f>
        <v>Not Polymer</v>
      </c>
      <c r="C61" s="532">
        <f>IF(B61="","",Data!B65)</f>
        <v>44055.5625</v>
      </c>
      <c r="D61" s="399" t="str">
        <f>IF(Data!$B65="","",IF(Data!AB65="Polymer",Data!S65,"-"))</f>
        <v>-</v>
      </c>
      <c r="E61" s="399" t="str">
        <f>IF(Data!$B65="","",IF(Data!AB65="Polymer",Data!I65,"-"))</f>
        <v>-</v>
      </c>
      <c r="F61" s="90" t="str">
        <f>IF(Data!$B65="","",IF(Data!AB65="Polymer",Data!AE65,"-"))</f>
        <v>-</v>
      </c>
      <c r="G61" s="401" t="str">
        <f>IF(Data!$B65="","",IF(Data!AB65="Polymer",IF(OR(Data!AP65="N/R",Data!AP65=""),"N/R",Data!AP65*1000),"-"))</f>
        <v>-</v>
      </c>
      <c r="H61" s="408" t="str">
        <f>IF(Data!$B65="","",IF(Data!AB65="Polymer",IF(OR(D61="N/R",D61=""),"N/R",D61/1000),"-"))</f>
        <v>-</v>
      </c>
      <c r="I61" s="541" t="str">
        <f>IF(Data!$B65="","",IF(Data!AB65="Polymer",IF(OR(Data!T65="N/R",Data!T65=""),"N/R",Data!T65/1000),"-"))</f>
        <v>-</v>
      </c>
      <c r="J61" s="542" t="str">
        <f>IF(Data!$B65="","",IF(Data!AB65="Polymer",IF(OR(Measurements!P62="N/R",Measurements!P62=""),"N/R",Measurements!P62),"-"))</f>
        <v>-</v>
      </c>
      <c r="K61" s="542" t="str">
        <f>IF(Data!$B65="","",IF(Data!AB65="Polymer",IF(OR(Measurements!Q62="N/R",Measurements!Q62=""),"N/R",Measurements!Q62/(10*10)),"-"))</f>
        <v>-</v>
      </c>
      <c r="L61" s="542" t="str">
        <f>IF(Data!$B65="","",IF(Data!AB65="Polymer",IF(OR(Measurements!X62="N/R",Measurements!X62=""),"N/R",Measurements!X62/(10*10)),"-"))</f>
        <v>-</v>
      </c>
      <c r="M61" s="542" t="str">
        <f>IF(Data!$B65="","",IF(Data!AB65="Polymer",IF(OR(Measurements!AI62="N/R",Measurements!AI62=""),"N/R",Measurements!AI62),"-"))</f>
        <v>-</v>
      </c>
      <c r="N61" s="544" t="str">
        <f>IF(Data!$B65="","",IF(Data!AB65="Polymer",IF(OR(Measurements!M62="N/R",Measurements!M62=""),"N/R",Measurements!M62),"-"))</f>
        <v>-</v>
      </c>
      <c r="O61" s="544" t="str">
        <f>IF(Data!$B65="","",IF(Data!AB65="Polymer",IF(OR(J61="N/R",J61=""),"N/R",J61/N61),"-"))</f>
        <v>-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W61" t="str">
        <f>Data!A48</f>
        <v>HVIL002-HPC-RT-S2-S10.0-0043</v>
      </c>
    </row>
    <row r="62" spans="1:52">
      <c r="A62" s="90">
        <v>61</v>
      </c>
      <c r="B62" s="98" t="str">
        <f>IF(Data!$B66="","",IF(Data!AB66="Polymer",Data!A66,"Not Polymer"))</f>
        <v>HVIL001-UHMWPE-RT-AL-S10.0-0061</v>
      </c>
      <c r="C62" s="532">
        <f>IF(B62="","",Data!B66)</f>
        <v>44056.46875</v>
      </c>
      <c r="D62" s="399">
        <f>IF(Data!$B66="","",IF(Data!AB66="Polymer",Data!S66,"-"))</f>
        <v>6342.4446991147406</v>
      </c>
      <c r="E62" s="399" t="str">
        <f>IF(Data!$B66="","",IF(Data!AB66="Polymer",Data!I66,"-"))</f>
        <v>Aluminum (AL)</v>
      </c>
      <c r="F62" s="90" t="str">
        <f>IF(Data!$B66="","",IF(Data!AB66="Polymer",Data!AE66,"-"))</f>
        <v>UHMWPE (UHMWPE)</v>
      </c>
      <c r="G62" s="401">
        <f>IF(Data!$B66="","",IF(Data!AB66="Polymer",IF(OR(Data!AP66="N/R",Data!AP66=""),"N/R",Data!AP66*1000),"-"))</f>
        <v>3.7000000000000366</v>
      </c>
      <c r="H62" s="408">
        <f>IF(Data!$B66="","",IF(Data!AB66="Polymer",IF(OR(D62="N/R",D62=""),"N/R",D62/1000),"-"))</f>
        <v>6.3424446991147407</v>
      </c>
      <c r="I62" s="541" t="str">
        <f>IF(Data!$B66="","",IF(Data!AB66="Polymer",IF(OR(Data!T66="N/R",Data!T66=""),"N/R",Data!T66/1000),"-"))</f>
        <v>N/R</v>
      </c>
      <c r="J62" s="542">
        <f>IF(Data!$B66="","",IF(Data!AB66="Polymer",IF(OR(Measurements!P63="N/R",Measurements!P63=""),"N/R",Measurements!P63),"-"))</f>
        <v>23.7</v>
      </c>
      <c r="K62" s="542">
        <f>IF(Data!$B66="","",IF(Data!AB66="Polymer",IF(OR(Measurements!Q63="N/R",Measurements!Q63=""),"N/R",Measurements!Q63/(10*10)),"-"))</f>
        <v>4.2923701249499997</v>
      </c>
      <c r="L62" s="542">
        <f>IF(Data!$B66="","",IF(Data!AB66="Polymer",IF(OR(Measurements!X63="N/R",Measurements!X63=""),"N/R",Measurements!X63/(10*10)),"-"))</f>
        <v>15.198252155220001</v>
      </c>
      <c r="M62" s="542">
        <f>IF(Data!$B66="","",IF(Data!AB66="Polymer",IF(OR(Measurements!AI63="N/R",Measurements!AI63=""),"N/R",Measurements!AI63),"-"))</f>
        <v>3.0975000000000001</v>
      </c>
      <c r="N62" s="544">
        <f>IF(Data!$B66="","",IF(Data!AB66="Polymer",IF(OR(Measurements!M63="N/R",Measurements!M63=""),"N/R",Measurements!M63),"-"))</f>
        <v>6.65</v>
      </c>
      <c r="O62" s="544">
        <f>IF(Data!$B66="","",IF(Data!AB66="Polymer",IF(OR(J62="N/R",J62=""),"N/R",J62/N62),"-"))</f>
        <v>3.5639097744360901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W62" t="str">
        <f>Data!A49</f>
        <v>HVIL003-PMMA-RT-AL-S04.0-0044</v>
      </c>
    </row>
    <row r="63" spans="1:52">
      <c r="A63" s="90">
        <v>62</v>
      </c>
      <c r="B63" s="98" t="str">
        <f>IF(Data!$B67="","",IF(Data!AB67="Polymer",Data!A67,"Not Polymer"))</f>
        <v>Not Polymer</v>
      </c>
      <c r="C63" s="532">
        <f>IF(B63="","",Data!B67)</f>
        <v>44056.541666666664</v>
      </c>
      <c r="D63" s="399" t="str">
        <f>IF(Data!$B67="","",IF(Data!AB67="Polymer",Data!S67,"-"))</f>
        <v>-</v>
      </c>
      <c r="E63" s="399" t="str">
        <f>IF(Data!$B67="","",IF(Data!AB67="Polymer",Data!I67,"-"))</f>
        <v>-</v>
      </c>
      <c r="F63" s="90" t="str">
        <f>IF(Data!$B67="","",IF(Data!AB67="Polymer",Data!AE67,"-"))</f>
        <v>-</v>
      </c>
      <c r="G63" s="401" t="str">
        <f>IF(Data!$B67="","",IF(Data!AB67="Polymer",IF(OR(Data!AP67="N/R",Data!AP67=""),"N/R",Data!AP67*1000),"-"))</f>
        <v>-</v>
      </c>
      <c r="H63" s="408" t="str">
        <f>IF(Data!$B67="","",IF(Data!AB67="Polymer",IF(OR(D63="N/R",D63=""),"N/R",D63/1000),"-"))</f>
        <v>-</v>
      </c>
      <c r="I63" s="541" t="str">
        <f>IF(Data!$B67="","",IF(Data!AB67="Polymer",IF(OR(Data!T67="N/R",Data!T67=""),"N/R",Data!T67/1000),"-"))</f>
        <v>-</v>
      </c>
      <c r="J63" s="542" t="str">
        <f>IF(Data!$B67="","",IF(Data!AB67="Polymer",IF(OR(Measurements!P64="N/R",Measurements!P64=""),"N/R",Measurements!P64),"-"))</f>
        <v>-</v>
      </c>
      <c r="K63" s="542" t="str">
        <f>IF(Data!$B67="","",IF(Data!AB67="Polymer",IF(OR(Measurements!Q64="N/R",Measurements!Q64=""),"N/R",Measurements!Q64/(10*10)),"-"))</f>
        <v>-</v>
      </c>
      <c r="L63" s="542" t="str">
        <f>IF(Data!$B67="","",IF(Data!AB67="Polymer",IF(OR(Measurements!X64="N/R",Measurements!X64=""),"N/R",Measurements!X64/(10*10)),"-"))</f>
        <v>-</v>
      </c>
      <c r="M63" s="542" t="str">
        <f>IF(Data!$B67="","",IF(Data!AB67="Polymer",IF(OR(Measurements!AI64="N/R",Measurements!AI64=""),"N/R",Measurements!AI64),"-"))</f>
        <v>-</v>
      </c>
      <c r="N63" s="544" t="str">
        <f>IF(Data!$B67="","",IF(Data!AB67="Polymer",IF(OR(Measurements!M64="N/R",Measurements!M64=""),"N/R",Measurements!M64),"-"))</f>
        <v>-</v>
      </c>
      <c r="O63" s="544" t="str">
        <f>IF(Data!$B67="","",IF(Data!AB67="Polymer",IF(OR(J63="N/R",J63=""),"N/R",J63/N63),"-"))</f>
        <v>-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W63" t="str">
        <f>Data!A50</f>
        <v>HVIL003-PMMA-RT-AL-S04.0-0045</v>
      </c>
    </row>
    <row r="64" spans="1:52">
      <c r="A64" s="90">
        <v>63</v>
      </c>
      <c r="B64" s="98" t="str">
        <f>IF(Data!$B68="","",IF(Data!AB68="Polymer",Data!A68,"Not Polymer"))</f>
        <v>HVIL001-UHMWPE-RT-AL-S10.0-0063</v>
      </c>
      <c r="C64" s="532">
        <f>IF(B64="","",Data!B68)</f>
        <v>44089.604166666664</v>
      </c>
      <c r="D64" s="399">
        <f>IF(Data!$B68="","",IF(Data!AB68="Polymer",Data!S68,"-"))</f>
        <v>2163.1282815106683</v>
      </c>
      <c r="E64" s="399" t="str">
        <f>IF(Data!$B68="","",IF(Data!AB68="Polymer",Data!I68,"-"))</f>
        <v>Aluminum (AL)</v>
      </c>
      <c r="F64" s="90" t="str">
        <f>IF(Data!$B68="","",IF(Data!AB68="Polymer",Data!AE68,"-"))</f>
        <v>UHMWPE (UHMWPE)</v>
      </c>
      <c r="G64" s="401">
        <f>IF(Data!$B68="","",IF(Data!AB68="Polymer",IF(OR(Data!AP68="N/R",Data!AP68=""),"N/R",Data!AP68*1000),"-"))</f>
        <v>1.5099999999999003</v>
      </c>
      <c r="H64" s="408">
        <f>IF(Data!$B68="","",IF(Data!AB68="Polymer",IF(OR(D64="N/R",D64=""),"N/R",D64/1000),"-"))</f>
        <v>2.1631282815106685</v>
      </c>
      <c r="I64" s="541" t="str">
        <f>IF(Data!$B68="","",IF(Data!AB68="Polymer",IF(OR(Data!T68="N/R",Data!T68=""),"N/R",Data!T68/1000),"-"))</f>
        <v>N/R</v>
      </c>
      <c r="J64" s="542" t="str">
        <f>IF(Data!$B68="","",IF(Data!AB68="Polymer",IF(OR(Measurements!P65="N/R",Measurements!P65=""),"N/R",Measurements!P65),"-"))</f>
        <v>N/R</v>
      </c>
      <c r="K64" s="542" t="str">
        <f>IF(Data!$B68="","",IF(Data!AB68="Polymer",IF(OR(Measurements!Q65="N/R",Measurements!Q65=""),"N/R",Measurements!Q65/(10*10)),"-"))</f>
        <v>N/R</v>
      </c>
      <c r="L64" s="542" t="str">
        <f>IF(Data!$B68="","",IF(Data!AB68="Polymer",IF(OR(Measurements!X65="N/R",Measurements!X65=""),"N/R",Measurements!X65/(10*10)),"-"))</f>
        <v>N/R</v>
      </c>
      <c r="M64" s="542" t="str">
        <f>IF(Data!$B68="","",IF(Data!AB68="Polymer",IF(OR(Measurements!AI65="N/R",Measurements!AI65=""),"N/R",Measurements!AI65),"-"))</f>
        <v>N/R</v>
      </c>
      <c r="N64" s="544" t="str">
        <f>IF(Data!$B68="","",IF(Data!AB68="Polymer",IF(OR(Measurements!M65="N/R",Measurements!M65=""),"N/R",Measurements!M65),"-"))</f>
        <v>N/R</v>
      </c>
      <c r="O64" s="544" t="str">
        <f>IF(Data!$B68="","",IF(Data!AB68="Polymer",IF(OR(J64="N/R",J64=""),"N/R",J64/N64),"-"))</f>
        <v>N/R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W64" t="str">
        <f>Data!A51</f>
        <v>HVIL001-HDPE-RT-AL-S10.0-0046</v>
      </c>
    </row>
    <row r="65" spans="1:46">
      <c r="A65" s="90">
        <v>64</v>
      </c>
      <c r="B65" s="98" t="str">
        <f>IF(Data!$B69="","",IF(Data!AB69="Polymer",Data!A69,"Not Polymer"))</f>
        <v>Not Polymer</v>
      </c>
      <c r="C65" s="532">
        <f>IF(B65="","",Data!B69)</f>
        <v>44091.510416666664</v>
      </c>
      <c r="D65" s="399" t="str">
        <f>IF(Data!$B69="","",IF(Data!AB69="Polymer",Data!S69,"-"))</f>
        <v>-</v>
      </c>
      <c r="E65" s="399" t="str">
        <f>IF(Data!$B69="","",IF(Data!AB69="Polymer",Data!I69,"-"))</f>
        <v>-</v>
      </c>
      <c r="F65" s="90" t="str">
        <f>IF(Data!$B69="","",IF(Data!AB69="Polymer",Data!AE69,"-"))</f>
        <v>-</v>
      </c>
      <c r="G65" s="401" t="str">
        <f>IF(Data!$B69="","",IF(Data!AB69="Polymer",IF(OR(Data!AP69="N/R",Data!AP69=""),"N/R",Data!AP69*1000),"-"))</f>
        <v>-</v>
      </c>
      <c r="H65" s="408" t="str">
        <f>IF(Data!$B69="","",IF(Data!AB69="Polymer",IF(OR(D65="N/R",D65=""),"N/R",D65/1000),"-"))</f>
        <v>-</v>
      </c>
      <c r="I65" s="541" t="str">
        <f>IF(Data!$B69="","",IF(Data!AB69="Polymer",IF(OR(Data!T69="N/R",Data!T69=""),"N/R",Data!T69/1000),"-"))</f>
        <v>-</v>
      </c>
      <c r="J65" s="542" t="str">
        <f>IF(Data!$B69="","",IF(Data!AB69="Polymer",IF(OR(Measurements!P66="N/R",Measurements!P66=""),"N/R",Measurements!P66),"-"))</f>
        <v>-</v>
      </c>
      <c r="K65" s="542" t="str">
        <f>IF(Data!$B69="","",IF(Data!AB69="Polymer",IF(OR(Measurements!Q66="N/R",Measurements!Q66=""),"N/R",Measurements!Q66/(10*10)),"-"))</f>
        <v>-</v>
      </c>
      <c r="L65" s="542" t="str">
        <f>IF(Data!$B69="","",IF(Data!AB69="Polymer",IF(OR(Measurements!X66="N/R",Measurements!X66=""),"N/R",Measurements!X66/(10*10)),"-"))</f>
        <v>-</v>
      </c>
      <c r="M65" s="542" t="str">
        <f>IF(Data!$B69="","",IF(Data!AB69="Polymer",IF(OR(Measurements!AI66="N/R",Measurements!AI66=""),"N/R",Measurements!AI66),"-"))</f>
        <v>-</v>
      </c>
      <c r="N65" s="544" t="str">
        <f>IF(Data!$B69="","",IF(Data!AB69="Polymer",IF(OR(Measurements!M66="N/R",Measurements!M66=""),"N/R",Measurements!M66),"-"))</f>
        <v>-</v>
      </c>
      <c r="O65" s="544" t="str">
        <f>IF(Data!$B69="","",IF(Data!AB69="Polymer",IF(OR(J65="N/R",J65=""),"N/R",J65/N65),"-"))</f>
        <v>-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T65" t="str">
        <f>Data!A52</f>
        <v>HVIL001-HDPE-RT-AL-S10.0-0047</v>
      </c>
    </row>
    <row r="66" spans="1:46">
      <c r="A66" s="90">
        <v>65</v>
      </c>
      <c r="B66" s="98" t="str">
        <f>IF(Data!$B70="","",IF(Data!AB70="Polymer",Data!A70,"Not Polymer"))</f>
        <v>Not Polymer</v>
      </c>
      <c r="C66" s="532">
        <f>IF(B66="","",Data!B70)</f>
        <v>44095.5625</v>
      </c>
      <c r="D66" s="399" t="str">
        <f>IF(Data!$B70="","",IF(Data!AB70="Polymer",Data!S70,"-"))</f>
        <v>-</v>
      </c>
      <c r="E66" s="399" t="str">
        <f>IF(Data!$B70="","",IF(Data!AB70="Polymer",Data!I70,"-"))</f>
        <v>-</v>
      </c>
      <c r="F66" s="90" t="str">
        <f>IF(Data!$B70="","",IF(Data!AB70="Polymer",Data!AE70,"-"))</f>
        <v>-</v>
      </c>
      <c r="G66" s="401" t="str">
        <f>IF(Data!$B70="","",IF(Data!AB70="Polymer",IF(OR(Data!AP70="N/R",Data!AP70=""),"N/R",Data!AP70*1000),"-"))</f>
        <v>-</v>
      </c>
      <c r="H66" s="408" t="str">
        <f>IF(Data!$B70="","",IF(Data!AB70="Polymer",IF(OR(D66="N/R",D66=""),"N/R",D66/1000),"-"))</f>
        <v>-</v>
      </c>
      <c r="I66" s="541" t="str">
        <f>IF(Data!$B70="","",IF(Data!AB70="Polymer",IF(OR(Data!T70="N/R",Data!T70=""),"N/R",Data!T70/1000),"-"))</f>
        <v>-</v>
      </c>
      <c r="J66" s="542" t="str">
        <f>IF(Data!$B70="","",IF(Data!AB70="Polymer",IF(OR(Measurements!P67="N/R",Measurements!P67=""),"N/R",Measurements!P67),"-"))</f>
        <v>-</v>
      </c>
      <c r="K66" s="542" t="str">
        <f>IF(Data!$B70="","",IF(Data!AB70="Polymer",IF(OR(Measurements!Q67="N/R",Measurements!Q67=""),"N/R",Measurements!Q67/(10*10)),"-"))</f>
        <v>-</v>
      </c>
      <c r="L66" s="542" t="str">
        <f>IF(Data!$B70="","",IF(Data!AB70="Polymer",IF(OR(Measurements!X67="N/R",Measurements!X67=""),"N/R",Measurements!X67/(10*10)),"-"))</f>
        <v>-</v>
      </c>
      <c r="M66" s="542" t="str">
        <f>IF(Data!$B70="","",IF(Data!AB70="Polymer",IF(OR(Measurements!AI67="N/R",Measurements!AI67=""),"N/R",Measurements!AI67),"-"))</f>
        <v>-</v>
      </c>
      <c r="N66" s="544" t="str">
        <f>IF(Data!$B70="","",IF(Data!AB70="Polymer",IF(OR(Measurements!M67="N/R",Measurements!M67=""),"N/R",Measurements!M67),"-"))</f>
        <v>-</v>
      </c>
      <c r="O66" s="544" t="str">
        <f>IF(Data!$B70="","",IF(Data!AB70="Polymer",IF(OR(J66="N/R",J66=""),"N/R",J66/N66),"-"))</f>
        <v>-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T66" t="str">
        <f>Data!A53</f>
        <v>HVIL001-HDPE-RT-AL-S10.0-0048</v>
      </c>
    </row>
    <row r="67" spans="1:46">
      <c r="A67" s="90">
        <v>66</v>
      </c>
      <c r="B67" s="98" t="str">
        <f>IF(Data!$B71="","",IF(Data!AB71="Polymer",Data!A71,"Not Polymer"))</f>
        <v>Not Polymer</v>
      </c>
      <c r="C67" s="532">
        <f>IF(B67="","",Data!B71)</f>
        <v>44096.5625</v>
      </c>
      <c r="D67" s="399" t="str">
        <f>IF(Data!$B71="","",IF(Data!AB71="Polymer",Data!S71,"-"))</f>
        <v>-</v>
      </c>
      <c r="E67" s="399" t="str">
        <f>IF(Data!$B71="","",IF(Data!AB71="Polymer",Data!I71,"-"))</f>
        <v>-</v>
      </c>
      <c r="F67" s="90" t="str">
        <f>IF(Data!$B71="","",IF(Data!AB71="Polymer",Data!AE71,"-"))</f>
        <v>-</v>
      </c>
      <c r="G67" s="401" t="str">
        <f>IF(Data!$B71="","",IF(Data!AB71="Polymer",IF(OR(Data!AP71="N/R",Data!AP71=""),"N/R",Data!AP71*1000),"-"))</f>
        <v>-</v>
      </c>
      <c r="H67" s="408" t="str">
        <f>IF(Data!$B71="","",IF(Data!AB71="Polymer",IF(OR(D67="N/R",D67=""),"N/R",D67/1000),"-"))</f>
        <v>-</v>
      </c>
      <c r="I67" s="541" t="str">
        <f>IF(Data!$B71="","",IF(Data!AB71="Polymer",IF(OR(Data!T71="N/R",Data!T71=""),"N/R",Data!T71/1000),"-"))</f>
        <v>-</v>
      </c>
      <c r="J67" s="542" t="str">
        <f>IF(Data!$B71="","",IF(Data!AB71="Polymer",IF(OR(Measurements!P68="N/R",Measurements!P68=""),"N/R",Measurements!P68),"-"))</f>
        <v>-</v>
      </c>
      <c r="K67" s="542" t="str">
        <f>IF(Data!$B71="","",IF(Data!AB71="Polymer",IF(OR(Measurements!Q68="N/R",Measurements!Q68=""),"N/R",Measurements!Q68/(10*10)),"-"))</f>
        <v>-</v>
      </c>
      <c r="L67" s="542" t="str">
        <f>IF(Data!$B71="","",IF(Data!AB71="Polymer",IF(OR(Measurements!X68="N/R",Measurements!X68=""),"N/R",Measurements!X68/(10*10)),"-"))</f>
        <v>-</v>
      </c>
      <c r="M67" s="542" t="str">
        <f>IF(Data!$B71="","",IF(Data!AB71="Polymer",IF(OR(Measurements!AI68="N/R",Measurements!AI68=""),"N/R",Measurements!AI68),"-"))</f>
        <v>-</v>
      </c>
      <c r="N67" s="544" t="str">
        <f>IF(Data!$B71="","",IF(Data!AB71="Polymer",IF(OR(Measurements!M68="N/R",Measurements!M68=""),"N/R",Measurements!M68),"-"))</f>
        <v>-</v>
      </c>
      <c r="O67" s="544" t="str">
        <f>IF(Data!$B71="","",IF(Data!AB71="Polymer",IF(OR(J67="N/R",J67=""),"N/R",J67/N67),"-"))</f>
        <v>-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46">
      <c r="A68" s="90">
        <v>67</v>
      </c>
      <c r="B68" s="98" t="str">
        <f>IF(Data!$B72="","",IF(Data!AB72="Polymer",Data!A72,"Not Polymer"))</f>
        <v>HVIL001-UHMWPE-RT-AL-S10.0-0067</v>
      </c>
      <c r="C68" s="532">
        <f>IF(B68="","",Data!B72)</f>
        <v>44098</v>
      </c>
      <c r="D68" s="399">
        <f>IF(Data!$B72="","",IF(Data!AB72="Polymer",Data!S72,"-"))</f>
        <v>6536.8463507728411</v>
      </c>
      <c r="E68" s="399" t="str">
        <f>IF(Data!$B72="","",IF(Data!AB72="Polymer",Data!I72,"-"))</f>
        <v>Aluminum (AL)</v>
      </c>
      <c r="F68" s="90" t="str">
        <f>IF(Data!$B72="","",IF(Data!AB72="Polymer",Data!AE72,"-"))</f>
        <v>UHMWPE (UHMWPE)</v>
      </c>
      <c r="G68" s="401">
        <f>IF(Data!$B72="","",IF(Data!AB72="Polymer",IF(OR(Data!AP72="N/R",Data!AP72=""),"N/R",Data!AP72*1000),"-"))</f>
        <v>3.7900000000000711</v>
      </c>
      <c r="H68" s="408">
        <f>IF(Data!$B72="","",IF(Data!AB72="Polymer",IF(OR(D68="N/R",D68=""),"N/R",D68/1000),"-"))</f>
        <v>6.5368463507728407</v>
      </c>
      <c r="I68" s="541" t="str">
        <f>IF(Data!$B72="","",IF(Data!AB72="Polymer",IF(OR(Data!T72="N/R",Data!T72=""),"N/R",Data!T72/1000),"-"))</f>
        <v>N/R</v>
      </c>
      <c r="J68" s="542" t="str">
        <f>IF(Data!$B72="","",IF(Data!AB72="Polymer",IF(OR(Measurements!P69="N/R",Measurements!P69=""),"N/R",Measurements!P69),"-"))</f>
        <v>N/R</v>
      </c>
      <c r="K68" s="542" t="str">
        <f>IF(Data!$B72="","",IF(Data!AB72="Polymer",IF(OR(Measurements!Q69="N/R",Measurements!Q69=""),"N/R",Measurements!Q69/(10*10)),"-"))</f>
        <v>N/R</v>
      </c>
      <c r="L68" s="542" t="str">
        <f>IF(Data!$B72="","",IF(Data!AB72="Polymer",IF(OR(Measurements!X69="N/R",Measurements!X69=""),"N/R",Measurements!X69/(10*10)),"-"))</f>
        <v>N/R</v>
      </c>
      <c r="M68" s="542" t="str">
        <f>IF(Data!$B72="","",IF(Data!AB72="Polymer",IF(OR(Measurements!AI69="N/R",Measurements!AI69=""),"N/R",Measurements!AI69),"-"))</f>
        <v>N/R</v>
      </c>
      <c r="N68" s="544" t="str">
        <f>IF(Data!$B72="","",IF(Data!AB72="Polymer",IF(OR(Measurements!M69="N/R",Measurements!M69=""),"N/R",Measurements!M69),"-"))</f>
        <v>N/R</v>
      </c>
      <c r="O68" s="544" t="str">
        <f>IF(Data!$B72="","",IF(Data!AB72="Polymer",IF(OR(J68="N/R",J68=""),"N/R",J68/N68),"-"))</f>
        <v>N/R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46">
      <c r="A69" s="90"/>
      <c r="B69" s="98" t="str">
        <f>IF(Data!$B73="","",IF(Data!AB73="Polymer",Data!A73,"Not Polymer"))</f>
        <v>Not Polymer</v>
      </c>
      <c r="C69" s="532">
        <f>IF(B69="","",Data!B73)</f>
        <v>44098.541666666664</v>
      </c>
      <c r="D69" s="399" t="str">
        <f>IF(Data!$B73="","",IF(Data!AB73="Polymer",Data!S73,"-"))</f>
        <v>-</v>
      </c>
      <c r="E69" s="399" t="str">
        <f>IF(Data!$B73="","",IF(Data!AB73="Polymer",Data!I73,"-"))</f>
        <v>-</v>
      </c>
      <c r="F69" s="90" t="str">
        <f>IF(Data!$B73="","",IF(Data!AB73="Polymer",Data!AE73,"-"))</f>
        <v>-</v>
      </c>
      <c r="G69" s="401" t="str">
        <f>IF(Data!$B73="","",IF(Data!AB73="Polymer",IF(OR(Data!AP73="N/R",Data!AP73=""),"N/R",Data!AP73*1000),"-"))</f>
        <v>-</v>
      </c>
      <c r="H69" s="408" t="str">
        <f>IF(Data!$B73="","",IF(Data!AB73="Polymer",IF(OR(D69="N/R",D69=""),"N/R",D69/1000),"-"))</f>
        <v>-</v>
      </c>
      <c r="I69" s="541" t="str">
        <f>IF(Data!$B73="","",IF(Data!AB73="Polymer",IF(OR(Data!T73="N/R",Data!T73=""),"N/R",Data!T73/1000),"-"))</f>
        <v>-</v>
      </c>
      <c r="J69" s="542" t="str">
        <f>IF(Data!$B73="","",IF(Data!AB73="Polymer",IF(OR(Measurements!P70="N/R",Measurements!P70=""),"N/R",Measurements!P70),"-"))</f>
        <v>-</v>
      </c>
      <c r="K69" s="542" t="str">
        <f>IF(Data!$B73="","",IF(Data!AB73="Polymer",IF(OR(Measurements!Q70="N/R",Measurements!Q70=""),"N/R",Measurements!Q70/(10*10)),"-"))</f>
        <v>-</v>
      </c>
      <c r="L69" s="542" t="str">
        <f>IF(Data!$B73="","",IF(Data!AB73="Polymer",IF(OR(Measurements!X70="N/R",Measurements!X70=""),"N/R",Measurements!X70/(10*10)),"-"))</f>
        <v>-</v>
      </c>
      <c r="M69" s="542" t="str">
        <f>IF(Data!$B73="","",IF(Data!AB73="Polymer",IF(OR(Measurements!AI70="N/R",Measurements!AI70=""),"N/R",Measurements!AI70),"-"))</f>
        <v>-</v>
      </c>
      <c r="N69" s="544" t="str">
        <f>IF(Data!$B73="","",IF(Data!AB73="Polymer",IF(OR(Measurements!M70="N/R",Measurements!M70=""),"N/R",Measurements!M70),"-"))</f>
        <v>-</v>
      </c>
      <c r="O69" s="544" t="str">
        <f>IF(Data!$B73="","",IF(Data!AB73="Polymer",IF(OR(J69="N/R",J69=""),"N/R",J69/N69),"-"))</f>
        <v>-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46">
      <c r="A70" s="90"/>
      <c r="B70" s="98" t="str">
        <f>IF(Data!$B74="","",IF(Data!AB74="Polymer",Data!A74,"Not Polymer"))</f>
        <v>HVIL001-UHMWPE-RT-AL-S10.0-0069</v>
      </c>
      <c r="C70" s="532">
        <f>IF(B70="","",Data!B74)</f>
        <v>44099.583333333336</v>
      </c>
      <c r="D70" s="399">
        <f>IF(Data!$B74="","",IF(Data!AB74="Polymer",Data!S74,"-"))</f>
        <v>6295.467571826196</v>
      </c>
      <c r="E70" s="399" t="str">
        <f>IF(Data!$B74="","",IF(Data!AB74="Polymer",Data!I74,"-"))</f>
        <v>Aluminum (AL)</v>
      </c>
      <c r="F70" s="90" t="str">
        <f>IF(Data!$B74="","",IF(Data!AB74="Polymer",Data!AE74,"-"))</f>
        <v>UHMWPE (UHMWPE)</v>
      </c>
      <c r="G70" s="401">
        <f>IF(Data!$B74="","",IF(Data!AB74="Polymer",IF(OR(Data!AP74="N/R",Data!AP74=""),"N/R",Data!AP74*1000),"-"))</f>
        <v>3.7500000000000311</v>
      </c>
      <c r="H70" s="408">
        <f>IF(Data!$B74="","",IF(Data!AB74="Polymer",IF(OR(D70="N/R",D70=""),"N/R",D70/1000),"-"))</f>
        <v>6.2954675718261957</v>
      </c>
      <c r="I70" s="541" t="str">
        <f>IF(Data!$B74="","",IF(Data!AB74="Polymer",IF(OR(Data!T74="N/R",Data!T74=""),"N/R",Data!T74/1000),"-"))</f>
        <v>N/R</v>
      </c>
      <c r="J70" s="542" t="str">
        <f>IF(Data!$B74="","",IF(Data!AB74="Polymer",IF(OR(Measurements!P71="N/R",Measurements!P71=""),"N/R",Measurements!P71),"-"))</f>
        <v>N/R</v>
      </c>
      <c r="K70" s="542" t="str">
        <f>IF(Data!$B74="","",IF(Data!AB74="Polymer",IF(OR(Measurements!Q71="N/R",Measurements!Q71=""),"N/R",Measurements!Q71/(10*10)),"-"))</f>
        <v>N/R</v>
      </c>
      <c r="L70" s="542" t="str">
        <f>IF(Data!$B74="","",IF(Data!AB74="Polymer",IF(OR(Measurements!X71="N/R",Measurements!X71=""),"N/R",Measurements!X71/(10*10)),"-"))</f>
        <v>N/R</v>
      </c>
      <c r="M70" s="542" t="str">
        <f>IF(Data!$B74="","",IF(Data!AB74="Polymer",IF(OR(Measurements!AI71="N/R",Measurements!AI71=""),"N/R",Measurements!AI71),"-"))</f>
        <v>N/R</v>
      </c>
      <c r="N70" s="544" t="str">
        <f>IF(Data!$B74="","",IF(Data!AB74="Polymer",IF(OR(Measurements!M71="N/R",Measurements!M71=""),"N/R",Measurements!M71),"-"))</f>
        <v>N/R</v>
      </c>
      <c r="O70" s="544" t="str">
        <f>IF(Data!$B74="","",IF(Data!AB74="Polymer",IF(OR(J70="N/R",J70=""),"N/R",J70/N70),"-"))</f>
        <v>N/R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46">
      <c r="A71" s="90"/>
      <c r="B71" s="98" t="str">
        <f>IF(Data!$B75="","",IF(Data!AB75="Polymer",Data!A75,"Not Polymer"))</f>
        <v>HVIL001-UHMWPE-RT-AL-S10.0-0070</v>
      </c>
      <c r="C71" s="532">
        <f>IF(B71="","",Data!B75)</f>
        <v>44104.604166666664</v>
      </c>
      <c r="D71" s="399">
        <f>IF(Data!$B75="","",IF(Data!AB75="Polymer",Data!S75,"-"))</f>
        <v>6252.6683262082097</v>
      </c>
      <c r="E71" s="399" t="str">
        <f>IF(Data!$B75="","",IF(Data!AB75="Polymer",Data!I75,"-"))</f>
        <v>Aluminum (AL)</v>
      </c>
      <c r="F71" s="90" t="str">
        <f>IF(Data!$B75="","",IF(Data!AB75="Polymer",Data!AE75,"-"))</f>
        <v>UHMWPE (UHMWPE)</v>
      </c>
      <c r="G71" s="401">
        <f>IF(Data!$B75="","",IF(Data!AB75="Polymer",IF(OR(Data!AP75="N/R",Data!AP75=""),"N/R",Data!AP75*1000),"-"))</f>
        <v>4.069999999999907</v>
      </c>
      <c r="H71" s="408">
        <f>IF(Data!$B75="","",IF(Data!AB75="Polymer",IF(OR(D71="N/R",D71=""),"N/R",D71/1000),"-"))</f>
        <v>6.2526683262082097</v>
      </c>
      <c r="I71" s="541" t="str">
        <f>IF(Data!$B75="","",IF(Data!AB75="Polymer",IF(OR(Data!T75="N/R",Data!T75=""),"N/R",Data!T75/1000),"-"))</f>
        <v>N/R</v>
      </c>
      <c r="J71" s="542" t="str">
        <f>IF(Data!$B75="","",IF(Data!AB75="Polymer",IF(OR(Measurements!P72="N/R",Measurements!P72=""),"N/R",Measurements!P72),"-"))</f>
        <v>N/R</v>
      </c>
      <c r="K71" s="542" t="str">
        <f>IF(Data!$B75="","",IF(Data!AB75="Polymer",IF(OR(Measurements!Q72="N/R",Measurements!Q72=""),"N/R",Measurements!Q72/(10*10)),"-"))</f>
        <v>N/R</v>
      </c>
      <c r="L71" s="542" t="str">
        <f>IF(Data!$B75="","",IF(Data!AB75="Polymer",IF(OR(Measurements!X72="N/R",Measurements!X72=""),"N/R",Measurements!X72/(10*10)),"-"))</f>
        <v>N/R</v>
      </c>
      <c r="M71" s="542" t="str">
        <f>IF(Data!$B75="","",IF(Data!AB75="Polymer",IF(OR(Measurements!AI72="N/R",Measurements!AI72=""),"N/R",Measurements!AI72),"-"))</f>
        <v>N/R</v>
      </c>
      <c r="N71" s="544" t="str">
        <f>IF(Data!$B75="","",IF(Data!AB75="Polymer",IF(OR(Measurements!M72="N/R",Measurements!M72=""),"N/R",Measurements!M72),"-"))</f>
        <v>N/R</v>
      </c>
      <c r="O71" s="544" t="str">
        <f>IF(Data!$B75="","",IF(Data!AB75="Polymer",IF(OR(J71="N/R",J71=""),"N/R",J71/N71),"-"))</f>
        <v>N/R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46">
      <c r="A72" s="90"/>
      <c r="B72" s="98" t="str">
        <f>IF(Data!$B76="","",IF(Data!AB76="Polymer",Data!A76,"Not Polymer"))</f>
        <v>HVIL001-HDPE-RT-AL-S10.0-0071</v>
      </c>
      <c r="C72" s="532">
        <f>IF(B72="","",Data!B76)</f>
        <v>44105.916666666664</v>
      </c>
      <c r="D72" s="399" t="str">
        <f>IF(Data!$B76="","",IF(Data!AB76="Polymer",Data!S76,"-"))</f>
        <v>N/R</v>
      </c>
      <c r="E72" s="399" t="str">
        <f>IF(Data!$B76="","",IF(Data!AB76="Polymer",Data!I76,"-"))</f>
        <v>Aluminum (AL)</v>
      </c>
      <c r="F72" s="90" t="str">
        <f>IF(Data!$B76="","",IF(Data!AB76="Polymer",Data!AE76,"-"))</f>
        <v>HDPE (HDPE)</v>
      </c>
      <c r="G72" s="401" t="str">
        <f>IF(Data!$B76="","",IF(Data!AB76="Polymer",IF(OR(Data!AP76="N/R",Data!AP76=""),"N/R",Data!AP76*1000),"-"))</f>
        <v>N/R</v>
      </c>
      <c r="H72" s="408" t="str">
        <f>IF(Data!$B76="","",IF(Data!AB76="Polymer",IF(OR(D72="N/R",D72=""),"N/R",D72/1000),"-"))</f>
        <v>N/R</v>
      </c>
      <c r="I72" s="541" t="str">
        <f>IF(Data!$B76="","",IF(Data!AB76="Polymer",IF(OR(Data!T76="N/R",Data!T76=""),"N/R",Data!T76/1000),"-"))</f>
        <v>N/R</v>
      </c>
      <c r="J72" s="542" t="str">
        <f>IF(Data!$B76="","",IF(Data!AB76="Polymer",IF(OR(Measurements!P73="N/R",Measurements!P73=""),"N/R",Measurements!P73),"-"))</f>
        <v>N/R</v>
      </c>
      <c r="K72" s="542" t="str">
        <f>IF(Data!$B76="","",IF(Data!AB76="Polymer",IF(OR(Measurements!Q73="N/R",Measurements!Q73=""),"N/R",Measurements!Q73/(10*10)),"-"))</f>
        <v>N/R</v>
      </c>
      <c r="L72" s="542" t="str">
        <f>IF(Data!$B76="","",IF(Data!AB76="Polymer",IF(OR(Measurements!X73="N/R",Measurements!X73=""),"N/R",Measurements!X73/(10*10)),"-"))</f>
        <v>N/R</v>
      </c>
      <c r="M72" s="542" t="str">
        <f>IF(Data!$B76="","",IF(Data!AB76="Polymer",IF(OR(Measurements!AI73="N/R",Measurements!AI73=""),"N/R",Measurements!AI73),"-"))</f>
        <v>N/R</v>
      </c>
      <c r="N72" s="544" t="str">
        <f>IF(Data!$B76="","",IF(Data!AB76="Polymer",IF(OR(Measurements!M73="N/R",Measurements!M73=""),"N/R",Measurements!M73),"-"))</f>
        <v>N/R</v>
      </c>
      <c r="O72" s="544" t="str">
        <f>IF(Data!$B76="","",IF(Data!AB76="Polymer",IF(OR(J72="N/R",J72=""),"N/R",J72/N72),"-"))</f>
        <v>N/R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46">
      <c r="A73" s="90"/>
      <c r="B73" s="98" t="str">
        <f>IF(Data!$B77="","",IF(Data!AB77="Polymer",Data!A77,"Not Polymer"))</f>
        <v>HVIL001-HDPE-RT-AL-S10.0-0072</v>
      </c>
      <c r="C73" s="532">
        <f>IF(B73="","",Data!B77)</f>
        <v>44105.5</v>
      </c>
      <c r="D73" s="399" t="str">
        <f>IF(Data!$B77="","",IF(Data!AB77="Polymer",Data!S77,"-"))</f>
        <v>N/R</v>
      </c>
      <c r="E73" s="399" t="str">
        <f>IF(Data!$B77="","",IF(Data!AB77="Polymer",Data!I77,"-"))</f>
        <v>Aluminum (AL)</v>
      </c>
      <c r="F73" s="90" t="str">
        <f>IF(Data!$B77="","",IF(Data!AB77="Polymer",Data!AE77,"-"))</f>
        <v>HDPE (HDPE)</v>
      </c>
      <c r="G73" s="401" t="str">
        <f>IF(Data!$B77="","",IF(Data!AB77="Polymer",IF(OR(Data!AP77="N/R",Data!AP77=""),"N/R",Data!AP77*1000),"-"))</f>
        <v>N/R</v>
      </c>
      <c r="H73" s="408" t="str">
        <f>IF(Data!$B77="","",IF(Data!AB77="Polymer",IF(OR(D73="N/R",D73=""),"N/R",D73/1000),"-"))</f>
        <v>N/R</v>
      </c>
      <c r="I73" s="541" t="str">
        <f>IF(Data!$B77="","",IF(Data!AB77="Polymer",IF(OR(Data!T77="N/R",Data!T77=""),"N/R",Data!T77/1000),"-"))</f>
        <v>N/R</v>
      </c>
      <c r="J73" s="542" t="str">
        <f>IF(Data!$B77="","",IF(Data!AB77="Polymer",IF(OR(Measurements!P74="N/R",Measurements!P74=""),"N/R",Measurements!P74),"-"))</f>
        <v>N/R</v>
      </c>
      <c r="K73" s="542" t="str">
        <f>IF(Data!$B77="","",IF(Data!AB77="Polymer",IF(OR(Measurements!Q74="N/R",Measurements!Q74=""),"N/R",Measurements!Q74/(10*10)),"-"))</f>
        <v>N/R</v>
      </c>
      <c r="L73" s="542" t="str">
        <f>IF(Data!$B77="","",IF(Data!AB77="Polymer",IF(OR(Measurements!X74="N/R",Measurements!X74=""),"N/R",Measurements!X74/(10*10)),"-"))</f>
        <v>N/R</v>
      </c>
      <c r="M73" s="542" t="str">
        <f>IF(Data!$B77="","",IF(Data!AB77="Polymer",IF(OR(Measurements!AI74="N/R",Measurements!AI74=""),"N/R",Measurements!AI74),"-"))</f>
        <v>N/R</v>
      </c>
      <c r="N73" s="544" t="str">
        <f>IF(Data!$B77="","",IF(Data!AB77="Polymer",IF(OR(Measurements!M74="N/R",Measurements!M74=""),"N/R",Measurements!M74),"-"))</f>
        <v>N/R</v>
      </c>
      <c r="O73" s="544" t="str">
        <f>IF(Data!$B77="","",IF(Data!AB77="Polymer",IF(OR(J73="N/R",J73=""),"N/R",J73/N73),"-"))</f>
        <v>N/R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46">
      <c r="A74" s="90"/>
      <c r="B74" s="98" t="str">
        <f>IF(Data!$B78="","",IF(Data!AB78="Polymer",Data!A78,"Not Polymer"))</f>
        <v>HVIL001-HDPE-RT-AL-S10.0-0073</v>
      </c>
      <c r="C74" s="532">
        <f>IF(B74="","",Data!B78)</f>
        <v>44105.583333333336</v>
      </c>
      <c r="D74" s="399">
        <f>IF(Data!$B78="","",IF(Data!AB78="Polymer",Data!S78,"-"))</f>
        <v>5854.9732494078862</v>
      </c>
      <c r="E74" s="399" t="str">
        <f>IF(Data!$B78="","",IF(Data!AB78="Polymer",Data!I78,"-"))</f>
        <v>Aluminum (AL)</v>
      </c>
      <c r="F74" s="90" t="str">
        <f>IF(Data!$B78="","",IF(Data!AB78="Polymer",Data!AE78,"-"))</f>
        <v>HDPE (HDPE)</v>
      </c>
      <c r="G74" s="401">
        <f>IF(Data!$B78="","",IF(Data!AB78="Polymer",IF(OR(Data!AP78="N/R",Data!AP78=""),"N/R",Data!AP78*1000),"-"))</f>
        <v>2.8699999999999282</v>
      </c>
      <c r="H74" s="408">
        <f>IF(Data!$B78="","",IF(Data!AB78="Polymer",IF(OR(D74="N/R",D74=""),"N/R",D74/1000),"-"))</f>
        <v>5.8549732494078865</v>
      </c>
      <c r="I74" s="541" t="str">
        <f>IF(Data!$B78="","",IF(Data!AB78="Polymer",IF(OR(Data!T78="N/R",Data!T78=""),"N/R",Data!T78/1000),"-"))</f>
        <v>N/R</v>
      </c>
      <c r="J74" s="542" t="str">
        <f>IF(Data!$B78="","",IF(Data!AB78="Polymer",IF(OR(Measurements!P75="N/R",Measurements!P75=""),"N/R",Measurements!P75),"-"))</f>
        <v>N/R</v>
      </c>
      <c r="K74" s="542" t="str">
        <f>IF(Data!$B78="","",IF(Data!AB78="Polymer",IF(OR(Measurements!Q75="N/R",Measurements!Q75=""),"N/R",Measurements!Q75/(10*10)),"-"))</f>
        <v>N/R</v>
      </c>
      <c r="L74" s="542" t="str">
        <f>IF(Data!$B78="","",IF(Data!AB78="Polymer",IF(OR(Measurements!X75="N/R",Measurements!X75=""),"N/R",Measurements!X75/(10*10)),"-"))</f>
        <v>N/R</v>
      </c>
      <c r="M74" s="542" t="str">
        <f>IF(Data!$B78="","",IF(Data!AB78="Polymer",IF(OR(Measurements!AI75="N/R",Measurements!AI75=""),"N/R",Measurements!AI75),"-"))</f>
        <v>N/R</v>
      </c>
      <c r="N74" s="544" t="str">
        <f>IF(Data!$B78="","",IF(Data!AB78="Polymer",IF(OR(Measurements!M75="N/R",Measurements!M75=""),"N/R",Measurements!M75),"-"))</f>
        <v>N/R</v>
      </c>
      <c r="O74" s="544" t="str">
        <f>IF(Data!$B78="","",IF(Data!AB78="Polymer",IF(OR(J74="N/R",J74=""),"N/R",J74/N74),"-"))</f>
        <v>N/R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46">
      <c r="A75" s="90"/>
      <c r="B75" s="98" t="str">
        <f>IF(Data!$B79="","",IF(Data!AB79="Polymer",Data!A79,"Not Polymer"))</f>
        <v>HVIL003-PMMA-RT-AL-S04.0-0074</v>
      </c>
      <c r="C75" s="532">
        <f>IF(B75="","",Data!B79)</f>
        <v>44106.635416666664</v>
      </c>
      <c r="D75" s="399">
        <f>IF(Data!$B79="","",IF(Data!AB79="Polymer",Data!S79,"-"))</f>
        <v>6484.1080455569108</v>
      </c>
      <c r="E75" s="399" t="str">
        <f>IF(Data!$B79="","",IF(Data!AB79="Polymer",Data!I79,"-"))</f>
        <v>Aluminum (AL)</v>
      </c>
      <c r="F75" s="90" t="str">
        <f>IF(Data!$B79="","",IF(Data!AB79="Polymer",Data!AE79,"-"))</f>
        <v>PMMA (PMMA)</v>
      </c>
      <c r="G75" s="401" t="str">
        <f>IF(Data!$B79="","",IF(Data!AB79="Polymer",IF(OR(Data!AP79="N/R",Data!AP79=""),"N/R",Data!AP79*1000),"-"))</f>
        <v>N/R</v>
      </c>
      <c r="H75" s="408">
        <f>IF(Data!$B79="","",IF(Data!AB79="Polymer",IF(OR(D75="N/R",D75=""),"N/R",D75/1000),"-"))</f>
        <v>6.4841080455569111</v>
      </c>
      <c r="I75" s="541" t="str">
        <f>IF(Data!$B79="","",IF(Data!AB79="Polymer",IF(OR(Data!T79="N/R",Data!T79=""),"N/R",Data!T79/1000),"-"))</f>
        <v>N/R</v>
      </c>
      <c r="J75" s="542" t="str">
        <f>IF(Data!$B79="","",IF(Data!AB79="Polymer",IF(OR(Measurements!P76="N/R",Measurements!P76=""),"N/R",Measurements!P76),"-"))</f>
        <v>N/R</v>
      </c>
      <c r="K75" s="542" t="str">
        <f>IF(Data!$B79="","",IF(Data!AB79="Polymer",IF(OR(Measurements!Q76="N/R",Measurements!Q76=""),"N/R",Measurements!Q76/(10*10)),"-"))</f>
        <v>N/R</v>
      </c>
      <c r="L75" s="542" t="str">
        <f>IF(Data!$B79="","",IF(Data!AB79="Polymer",IF(OR(Measurements!X76="N/R",Measurements!X76=""),"N/R",Measurements!X76/(10*10)),"-"))</f>
        <v>N/R</v>
      </c>
      <c r="M75" s="542" t="str">
        <f>IF(Data!$B79="","",IF(Data!AB79="Polymer",IF(OR(Measurements!AI76="N/R",Measurements!AI76=""),"N/R",Measurements!AI76),"-"))</f>
        <v>N/R</v>
      </c>
      <c r="N75" s="544" t="str">
        <f>IF(Data!$B79="","",IF(Data!AB79="Polymer",IF(OR(Measurements!M76="N/R",Measurements!M76=""),"N/R",Measurements!M76),"-"))</f>
        <v>N/R</v>
      </c>
      <c r="O75" s="544" t="str">
        <f>IF(Data!$B79="","",IF(Data!AB79="Polymer",IF(OR(J75="N/R",J75=""),"N/R",J75/N75),"-"))</f>
        <v>N/R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46">
      <c r="A76" s="90"/>
      <c r="B76" s="98" t="str">
        <f>IF(Data!$B80="","",IF(Data!AB80="Polymer",Data!A80,"Not Polymer"))</f>
        <v>HVIL003-PMMA-RT-AL-S04.0-0075</v>
      </c>
      <c r="C76" s="532">
        <f>IF(B76="","",Data!B80)</f>
        <v>44110.666666666664</v>
      </c>
      <c r="D76" s="399">
        <f>IF(Data!$B80="","",IF(Data!AB80="Polymer",Data!S80,"-"))</f>
        <v>6161.7746831245749</v>
      </c>
      <c r="E76" s="399" t="str">
        <f>IF(Data!$B80="","",IF(Data!AB80="Polymer",Data!I80,"-"))</f>
        <v>Aluminum (AL)</v>
      </c>
      <c r="F76" s="90" t="str">
        <f>IF(Data!$B80="","",IF(Data!AB80="Polymer",Data!AE80,"-"))</f>
        <v>PMMA (PMMA)</v>
      </c>
      <c r="G76" s="401">
        <f>IF(Data!$B80="","",IF(Data!AB80="Polymer",IF(OR(Data!AP80="N/R",Data!AP80=""),"N/R",Data!AP80*1000),"-"))</f>
        <v>0.15000000000001124</v>
      </c>
      <c r="H76" s="408">
        <f>IF(Data!$B80="","",IF(Data!AB80="Polymer",IF(OR(D76="N/R",D76=""),"N/R",D76/1000),"-"))</f>
        <v>6.161774683124575</v>
      </c>
      <c r="I76" s="541" t="str">
        <f>IF(Data!$B80="","",IF(Data!AB80="Polymer",IF(OR(Data!T80="N/R",Data!T80=""),"N/R",Data!T80/1000),"-"))</f>
        <v>N/R</v>
      </c>
      <c r="J76" s="542" t="str">
        <f>IF(Data!$B80="","",IF(Data!AB80="Polymer",IF(OR(Measurements!P77="N/R",Measurements!P77=""),"N/R",Measurements!P77),"-"))</f>
        <v>N/R</v>
      </c>
      <c r="K76" s="542" t="str">
        <f>IF(Data!$B80="","",IF(Data!AB80="Polymer",IF(OR(Measurements!Q77="N/R",Measurements!Q77=""),"N/R",Measurements!Q77/(10*10)),"-"))</f>
        <v>N/R</v>
      </c>
      <c r="L76" s="542" t="str">
        <f>IF(Data!$B80="","",IF(Data!AB80="Polymer",IF(OR(Measurements!X77="N/R",Measurements!X77=""),"N/R",Measurements!X77/(10*10)),"-"))</f>
        <v>N/R</v>
      </c>
      <c r="M76" s="542" t="str">
        <f>IF(Data!$B80="","",IF(Data!AB80="Polymer",IF(OR(Measurements!AI77="N/R",Measurements!AI77=""),"N/R",Measurements!AI77),"-"))</f>
        <v>N/R</v>
      </c>
      <c r="N76" s="544" t="str">
        <f>IF(Data!$B80="","",IF(Data!AB80="Polymer",IF(OR(Measurements!M77="N/R",Measurements!M77=""),"N/R",Measurements!M77),"-"))</f>
        <v>N/R</v>
      </c>
      <c r="O76" s="544" t="str">
        <f>IF(Data!$B80="","",IF(Data!AB80="Polymer",IF(OR(J76="N/R",J76=""),"N/R",J76/N76),"-"))</f>
        <v>N/R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46">
      <c r="A77" s="90"/>
      <c r="B77" s="98" t="str">
        <f>IF(Data!$B81="","",IF(Data!AB81="Polymer",Data!A81,"Not Polymer"))</f>
        <v>Not Polymer</v>
      </c>
      <c r="C77" s="532">
        <f>IF(B77="","",Data!B81)</f>
        <v>44112.489583333336</v>
      </c>
      <c r="D77" s="399" t="str">
        <f>IF(Data!$B81="","",IF(Data!AB81="Polymer",Data!S81,"-"))</f>
        <v>-</v>
      </c>
      <c r="E77" s="399" t="str">
        <f>IF(Data!$B81="","",IF(Data!AB81="Polymer",Data!I81,"-"))</f>
        <v>-</v>
      </c>
      <c r="F77" s="90" t="str">
        <f>IF(Data!$B81="","",IF(Data!AB81="Polymer",Data!AE81,"-"))</f>
        <v>-</v>
      </c>
      <c r="G77" s="401" t="str">
        <f>IF(Data!$B81="","",IF(Data!AB81="Polymer",IF(OR(Data!AP81="N/R",Data!AP81=""),"N/R",Data!AP81*1000),"-"))</f>
        <v>-</v>
      </c>
      <c r="H77" s="408" t="str">
        <f>IF(Data!$B81="","",IF(Data!AB81="Polymer",IF(OR(D77="N/R",D77=""),"N/R",D77/1000),"-"))</f>
        <v>-</v>
      </c>
      <c r="I77" s="541" t="str">
        <f>IF(Data!$B81="","",IF(Data!AB81="Polymer",IF(OR(Data!T81="N/R",Data!T81=""),"N/R",Data!T81/1000),"-"))</f>
        <v>-</v>
      </c>
      <c r="J77" s="542" t="str">
        <f>IF(Data!$B81="","",IF(Data!AB81="Polymer",IF(OR(Measurements!P78="N/R",Measurements!P78=""),"N/R",Measurements!P78),"-"))</f>
        <v>-</v>
      </c>
      <c r="K77" s="542" t="str">
        <f>IF(Data!$B81="","",IF(Data!AB81="Polymer",IF(OR(Measurements!Q78="N/R",Measurements!Q78=""),"N/R",Measurements!Q78/(10*10)),"-"))</f>
        <v>-</v>
      </c>
      <c r="L77" s="542" t="str">
        <f>IF(Data!$B81="","",IF(Data!AB81="Polymer",IF(OR(Measurements!X78="N/R",Measurements!X78=""),"N/R",Measurements!X78/(10*10)),"-"))</f>
        <v>-</v>
      </c>
      <c r="M77" s="542" t="str">
        <f>IF(Data!$B81="","",IF(Data!AB81="Polymer",IF(OR(Measurements!AI78="N/R",Measurements!AI78=""),"N/R",Measurements!AI78),"-"))</f>
        <v>-</v>
      </c>
      <c r="N77" s="544" t="str">
        <f>IF(Data!$B81="","",IF(Data!AB81="Polymer",IF(OR(Measurements!M78="N/R",Measurements!M78=""),"N/R",Measurements!M78),"-"))</f>
        <v>-</v>
      </c>
      <c r="O77" s="544" t="str">
        <f>IF(Data!$B81="","",IF(Data!AB81="Polymer",IF(OR(J77="N/R",J77=""),"N/R",J77/N77),"-"))</f>
        <v>-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46">
      <c r="A78" s="90"/>
      <c r="B78" s="98" t="str">
        <f>IF(Data!$B82="","",IF(Data!AB82="Polymer",Data!A82,"Not Polymer"))</f>
        <v>HVIL001-UHMWPE-RT-AL-S10.0-0077</v>
      </c>
      <c r="C78" s="532">
        <f>IF(B78="","",Data!B82)</f>
        <v>44112.572916666664</v>
      </c>
      <c r="D78" s="399">
        <f>IF(Data!$B82="","",IF(Data!AB82="Polymer",Data!S82,"-"))</f>
        <v>4054.4767058555262</v>
      </c>
      <c r="E78" s="399" t="str">
        <f>IF(Data!$B82="","",IF(Data!AB82="Polymer",Data!I82,"-"))</f>
        <v>Aluminum (AL)</v>
      </c>
      <c r="F78" s="90" t="str">
        <f>IF(Data!$B82="","",IF(Data!AB82="Polymer",Data!AE82,"-"))</f>
        <v>UHMWPE (UHMWPE)</v>
      </c>
      <c r="G78" s="401">
        <f>IF(Data!$B82="","",IF(Data!AB82="Polymer",IF(OR(Data!AP82="N/R",Data!AP82=""),"N/R",Data!AP82*1000),"-"))</f>
        <v>2.6900000000000812</v>
      </c>
      <c r="H78" s="408">
        <f>IF(Data!$B82="","",IF(Data!AB82="Polymer",IF(OR(D78="N/R",D78=""),"N/R",D78/1000),"-"))</f>
        <v>4.0544767058555262</v>
      </c>
      <c r="I78" s="541" t="str">
        <f>IF(Data!$B82="","",IF(Data!AB82="Polymer",IF(OR(Data!T82="N/R",Data!T82=""),"N/R",Data!T82/1000),"-"))</f>
        <v>N/R</v>
      </c>
      <c r="J78" s="542" t="str">
        <f>IF(Data!$B82="","",IF(Data!AB82="Polymer",IF(OR(Measurements!P79="N/R",Measurements!P79=""),"N/R",Measurements!P79),"-"))</f>
        <v>N/R</v>
      </c>
      <c r="K78" s="542" t="str">
        <f>IF(Data!$B82="","",IF(Data!AB82="Polymer",IF(OR(Measurements!Q79="N/R",Measurements!Q79=""),"N/R",Measurements!Q79/(10*10)),"-"))</f>
        <v>N/R</v>
      </c>
      <c r="L78" s="542" t="str">
        <f>IF(Data!$B82="","",IF(Data!AB82="Polymer",IF(OR(Measurements!X79="N/R",Measurements!X79=""),"N/R",Measurements!X79/(10*10)),"-"))</f>
        <v>N/R</v>
      </c>
      <c r="M78" s="542" t="str">
        <f>IF(Data!$B82="","",IF(Data!AB82="Polymer",IF(OR(Measurements!AI79="N/R",Measurements!AI79=""),"N/R",Measurements!AI79),"-"))</f>
        <v>N/R</v>
      </c>
      <c r="N78" s="544" t="str">
        <f>IF(Data!$B82="","",IF(Data!AB82="Polymer",IF(OR(Measurements!M79="N/R",Measurements!M79=""),"N/R",Measurements!M79),"-"))</f>
        <v>N/R</v>
      </c>
      <c r="O78" s="544" t="str">
        <f>IF(Data!$B82="","",IF(Data!AB82="Polymer",IF(OR(J78="N/R",J78=""),"N/R",J78/N78),"-"))</f>
        <v>N/R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46">
      <c r="A79" s="90"/>
      <c r="B79" s="98" t="str">
        <f>IF(Data!$B83="","",IF(Data!AB83="Polymer",Data!A83,"Not Polymer"))</f>
        <v>Not Polymer</v>
      </c>
      <c r="C79" s="532">
        <f>IF(B79="","",Data!B83)</f>
        <v>44117.625</v>
      </c>
      <c r="D79" s="399" t="str">
        <f>IF(Data!$B83="","",IF(Data!AB83="Polymer",Data!S83,"-"))</f>
        <v>-</v>
      </c>
      <c r="E79" s="399" t="str">
        <f>IF(Data!$B83="","",IF(Data!AB83="Polymer",Data!I83,"-"))</f>
        <v>-</v>
      </c>
      <c r="F79" s="90" t="str">
        <f>IF(Data!$B83="","",IF(Data!AB83="Polymer",Data!AE83,"-"))</f>
        <v>-</v>
      </c>
      <c r="G79" s="401" t="str">
        <f>IF(Data!$B83="","",IF(Data!AB83="Polymer",IF(OR(Data!AP83="N/R",Data!AP83=""),"N/R",Data!AP83*1000),"-"))</f>
        <v>-</v>
      </c>
      <c r="H79" s="408" t="str">
        <f>IF(Data!$B83="","",IF(Data!AB83="Polymer",IF(OR(D79="N/R",D79=""),"N/R",D79/1000),"-"))</f>
        <v>-</v>
      </c>
      <c r="I79" s="541" t="str">
        <f>IF(Data!$B83="","",IF(Data!AB83="Polymer",IF(OR(Data!T83="N/R",Data!T83=""),"N/R",Data!T83/1000),"-"))</f>
        <v>-</v>
      </c>
      <c r="J79" s="542" t="str">
        <f>IF(Data!$B83="","",IF(Data!AB83="Polymer",IF(OR(Measurements!P80="N/R",Measurements!P80=""),"N/R",Measurements!P80),"-"))</f>
        <v>-</v>
      </c>
      <c r="K79" s="542" t="str">
        <f>IF(Data!$B83="","",IF(Data!AB83="Polymer",IF(OR(Measurements!Q80="N/R",Measurements!Q80=""),"N/R",Measurements!Q80/(10*10)),"-"))</f>
        <v>-</v>
      </c>
      <c r="L79" s="542" t="str">
        <f>IF(Data!$B83="","",IF(Data!AB83="Polymer",IF(OR(Measurements!X80="N/R",Measurements!X80=""),"N/R",Measurements!X80/(10*10)),"-"))</f>
        <v>-</v>
      </c>
      <c r="M79" s="542" t="str">
        <f>IF(Data!$B83="","",IF(Data!AB83="Polymer",IF(OR(Measurements!AI80="N/R",Measurements!AI80=""),"N/R",Measurements!AI80),"-"))</f>
        <v>-</v>
      </c>
      <c r="N79" s="544" t="str">
        <f>IF(Data!$B83="","",IF(Data!AB83="Polymer",IF(OR(Measurements!M80="N/R",Measurements!M80=""),"N/R",Measurements!M80),"-"))</f>
        <v>-</v>
      </c>
      <c r="O79" s="544" t="str">
        <f>IF(Data!$B83="","",IF(Data!AB83="Polymer",IF(OR(J79="N/R",J79=""),"N/R",J79/N79),"-"))</f>
        <v>-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46">
      <c r="A80" s="90"/>
      <c r="B80" s="98" t="str">
        <f>IF(Data!$B84="","",IF(Data!AB84="Polymer",Data!A84,"Not Polymer"))</f>
        <v>Not Polymer</v>
      </c>
      <c r="C80" s="532">
        <f>IF(B80="","",Data!B84)</f>
        <v>44119.453472222223</v>
      </c>
      <c r="D80" s="399" t="str">
        <f>IF(Data!$B84="","",IF(Data!AB84="Polymer",Data!S84,"-"))</f>
        <v>-</v>
      </c>
      <c r="E80" s="399" t="str">
        <f>IF(Data!$B84="","",IF(Data!AB84="Polymer",Data!I84,"-"))</f>
        <v>-</v>
      </c>
      <c r="F80" s="90" t="str">
        <f>IF(Data!$B84="","",IF(Data!AB84="Polymer",Data!AE84,"-"))</f>
        <v>-</v>
      </c>
      <c r="G80" s="401" t="str">
        <f>IF(Data!$B84="","",IF(Data!AB84="Polymer",IF(OR(Data!AP84="N/R",Data!AP84=""),"N/R",Data!AP84*1000),"-"))</f>
        <v>-</v>
      </c>
      <c r="H80" s="408" t="str">
        <f>IF(Data!$B84="","",IF(Data!AB84="Polymer",IF(OR(D80="N/R",D80=""),"N/R",D80/1000),"-"))</f>
        <v>-</v>
      </c>
      <c r="I80" s="541" t="str">
        <f>IF(Data!$B84="","",IF(Data!AB84="Polymer",IF(OR(Data!T84="N/R",Data!T84=""),"N/R",Data!T84/1000),"-"))</f>
        <v>-</v>
      </c>
      <c r="J80" s="542" t="str">
        <f>IF(Data!$B84="","",IF(Data!AB84="Polymer",IF(OR(Measurements!P81="N/R",Measurements!P81=""),"N/R",Measurements!P81),"-"))</f>
        <v>-</v>
      </c>
      <c r="K80" s="542" t="str">
        <f>IF(Data!$B84="","",IF(Data!AB84="Polymer",IF(OR(Measurements!Q81="N/R",Measurements!Q81=""),"N/R",Measurements!Q81/(10*10)),"-"))</f>
        <v>-</v>
      </c>
      <c r="L80" s="542" t="str">
        <f>IF(Data!$B84="","",IF(Data!AB84="Polymer",IF(OR(Measurements!X81="N/R",Measurements!X81=""),"N/R",Measurements!X81/(10*10)),"-"))</f>
        <v>-</v>
      </c>
      <c r="M80" s="542" t="str">
        <f>IF(Data!$B84="","",IF(Data!AB84="Polymer",IF(OR(Measurements!AI81="N/R",Measurements!AI81=""),"N/R",Measurements!AI81),"-"))</f>
        <v>-</v>
      </c>
      <c r="N80" s="544" t="str">
        <f>IF(Data!$B84="","",IF(Data!AB84="Polymer",IF(OR(Measurements!M81="N/R",Measurements!M81=""),"N/R",Measurements!M81),"-"))</f>
        <v>-</v>
      </c>
      <c r="O80" s="544" t="str">
        <f>IF(Data!$B84="","",IF(Data!AB84="Polymer",IF(OR(J80="N/R",J80=""),"N/R",J80/N80),"-"))</f>
        <v>-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>
      <c r="A81" s="90"/>
      <c r="B81" s="98" t="str">
        <f>IF(Data!$B85="","",IF(Data!AB85="Polymer",Data!A85,"Not Polymer"))</f>
        <v>Not Polymer</v>
      </c>
      <c r="C81" s="532">
        <f>IF(B81="","",Data!B85)</f>
        <v>44119.604166666664</v>
      </c>
      <c r="D81" s="399" t="str">
        <f>IF(Data!$B85="","",IF(Data!AB85="Polymer",Data!S85,"-"))</f>
        <v>-</v>
      </c>
      <c r="E81" s="399" t="str">
        <f>IF(Data!$B85="","",IF(Data!AB85="Polymer",Data!I85,"-"))</f>
        <v>-</v>
      </c>
      <c r="F81" s="90" t="str">
        <f>IF(Data!$B85="","",IF(Data!AB85="Polymer",Data!AE85,"-"))</f>
        <v>-</v>
      </c>
      <c r="G81" s="401" t="str">
        <f>IF(Data!$B85="","",IF(Data!AB85="Polymer",IF(OR(Data!AP85="N/R",Data!AP85=""),"N/R",Data!AP85*1000),"-"))</f>
        <v>-</v>
      </c>
      <c r="H81" s="408" t="str">
        <f>IF(Data!$B85="","",IF(Data!AB85="Polymer",IF(OR(D81="N/R",D81=""),"N/R",D81/1000),"-"))</f>
        <v>-</v>
      </c>
      <c r="I81" s="541" t="str">
        <f>IF(Data!$B85="","",IF(Data!AB85="Polymer",IF(OR(Data!T85="N/R",Data!T85=""),"N/R",Data!T85/1000),"-"))</f>
        <v>-</v>
      </c>
      <c r="J81" s="542" t="str">
        <f>IF(Data!$B85="","",IF(Data!AB85="Polymer",IF(OR(Measurements!P82="N/R",Measurements!P82=""),"N/R",Measurements!P82),"-"))</f>
        <v>-</v>
      </c>
      <c r="K81" s="542" t="str">
        <f>IF(Data!$B85="","",IF(Data!AB85="Polymer",IF(OR(Measurements!Q82="N/R",Measurements!Q82=""),"N/R",Measurements!Q82/(10*10)),"-"))</f>
        <v>-</v>
      </c>
      <c r="L81" s="542" t="str">
        <f>IF(Data!$B85="","",IF(Data!AB85="Polymer",IF(OR(Measurements!X82="N/R",Measurements!X82=""),"N/R",Measurements!X82/(10*10)),"-"))</f>
        <v>-</v>
      </c>
      <c r="M81" s="542" t="str">
        <f>IF(Data!$B85="","",IF(Data!AB85="Polymer",IF(OR(Measurements!AI82="N/R",Measurements!AI82=""),"N/R",Measurements!AI82),"-"))</f>
        <v>-</v>
      </c>
      <c r="N81" s="544" t="str">
        <f>IF(Data!$B85="","",IF(Data!AB85="Polymer",IF(OR(Measurements!M82="N/R",Measurements!M82=""),"N/R",Measurements!M82),"-"))</f>
        <v>-</v>
      </c>
      <c r="O81" s="544" t="str">
        <f>IF(Data!$B85="","",IF(Data!AB85="Polymer",IF(OR(J81="N/R",J81=""),"N/R",J81/N81),"-"))</f>
        <v>-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>
      <c r="A82" s="90"/>
      <c r="B82" s="98" t="str">
        <f>IF(Data!$B86="","",IF(Data!AB86="Polymer",Data!A86,"Not Polymer"))</f>
        <v>HVIL001-UHMWPE-RT-AL-S10.0-0081</v>
      </c>
      <c r="C82" s="532">
        <f>IF(B82="","",Data!B86)</f>
        <v>44120.458333333336</v>
      </c>
      <c r="D82" s="399">
        <f>IF(Data!$B86="","",IF(Data!AB86="Polymer",Data!S86,"-"))</f>
        <v>2625.8349104681324</v>
      </c>
      <c r="E82" s="399" t="str">
        <f>IF(Data!$B86="","",IF(Data!AB86="Polymer",Data!I86,"-"))</f>
        <v>Aluminum (AL)</v>
      </c>
      <c r="F82" s="90" t="str">
        <f>IF(Data!$B86="","",IF(Data!AB86="Polymer",Data!AE86,"-"))</f>
        <v>UHMWPE (UHMWPE)</v>
      </c>
      <c r="G82" s="401">
        <f>IF(Data!$B86="","",IF(Data!AB86="Polymer",IF(OR(Data!AP86="N/R",Data!AP86=""),"N/R",Data!AP86*1000),"-"))</f>
        <v>1.6800000000000148</v>
      </c>
      <c r="H82" s="408">
        <f>IF(Data!$B86="","",IF(Data!AB86="Polymer",IF(OR(D82="N/R",D82=""),"N/R",D82/1000),"-"))</f>
        <v>2.6258349104681322</v>
      </c>
      <c r="I82" s="541" t="str">
        <f>IF(Data!$B86="","",IF(Data!AB86="Polymer",IF(OR(Data!T86="N/R",Data!T86=""),"N/R",Data!T86/1000),"-"))</f>
        <v>N/R</v>
      </c>
      <c r="J82" s="542" t="str">
        <f>IF(Data!$B86="","",IF(Data!AB86="Polymer",IF(OR(Measurements!P83="N/R",Measurements!P83=""),"N/R",Measurements!P83),"-"))</f>
        <v>N/R</v>
      </c>
      <c r="K82" s="542" t="str">
        <f>IF(Data!$B86="","",IF(Data!AB86="Polymer",IF(OR(Measurements!Q83="N/R",Measurements!Q83=""),"N/R",Measurements!Q83/(10*10)),"-"))</f>
        <v>N/R</v>
      </c>
      <c r="L82" s="542" t="str">
        <f>IF(Data!$B86="","",IF(Data!AB86="Polymer",IF(OR(Measurements!X83="N/R",Measurements!X83=""),"N/R",Measurements!X83/(10*10)),"-"))</f>
        <v>N/R</v>
      </c>
      <c r="M82" s="542" t="str">
        <f>IF(Data!$B86="","",IF(Data!AB86="Polymer",IF(OR(Measurements!AI83="N/R",Measurements!AI83=""),"N/R",Measurements!AI83),"-"))</f>
        <v>N/R</v>
      </c>
      <c r="N82" s="544" t="str">
        <f>IF(Data!$B86="","",IF(Data!AB86="Polymer",IF(OR(Measurements!M83="N/R",Measurements!M83=""),"N/R",Measurements!M83),"-"))</f>
        <v>N/R</v>
      </c>
      <c r="O82" s="544" t="str">
        <f>IF(Data!$B86="","",IF(Data!AB86="Polymer",IF(OR(J82="N/R",J82=""),"N/R",J82/N82),"-"))</f>
        <v>N/R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>
      <c r="A83" s="90"/>
      <c r="B83" s="98" t="str">
        <f>IF(Data!$B87="","",IF(Data!AB87="Polymer",Data!A87,"Not Polymer"))</f>
        <v>HVIL001-UHMWPE-RT-AL-S10.0-0082</v>
      </c>
      <c r="C83" s="532">
        <f>IF(B83="","",Data!B87)</f>
        <v>44120.5</v>
      </c>
      <c r="D83" s="399">
        <f>IF(Data!$B87="","",IF(Data!AB87="Polymer",Data!S87,"-"))</f>
        <v>3106.7341507316578</v>
      </c>
      <c r="E83" s="399" t="str">
        <f>IF(Data!$B87="","",IF(Data!AB87="Polymer",Data!I87,"-"))</f>
        <v>Aluminum (AL)</v>
      </c>
      <c r="F83" s="90" t="str">
        <f>IF(Data!$B87="","",IF(Data!AB87="Polymer",Data!AE87,"-"))</f>
        <v>UHMWPE (UHMWPE)</v>
      </c>
      <c r="G83" s="401">
        <f>IF(Data!$B87="","",IF(Data!AB87="Polymer",IF(OR(Data!AP87="N/R",Data!AP87=""),"N/R",Data!AP87*1000),"-"))</f>
        <v>1.8099999999999783</v>
      </c>
      <c r="H83" s="408">
        <f>IF(Data!$B87="","",IF(Data!AB87="Polymer",IF(OR(D83="N/R",D83=""),"N/R",D83/1000),"-"))</f>
        <v>3.1067341507316577</v>
      </c>
      <c r="I83" s="541" t="str">
        <f>IF(Data!$B87="","",IF(Data!AB87="Polymer",IF(OR(Data!T87="N/R",Data!T87=""),"N/R",Data!T87/1000),"-"))</f>
        <v>N/R</v>
      </c>
      <c r="J83" s="542" t="str">
        <f>IF(Data!$B87="","",IF(Data!AB87="Polymer",IF(OR(Measurements!P84="N/R",Measurements!P84=""),"N/R",Measurements!P84),"-"))</f>
        <v>N/R</v>
      </c>
      <c r="K83" s="542" t="str">
        <f>IF(Data!$B87="","",IF(Data!AB87="Polymer",IF(OR(Measurements!Q84="N/R",Measurements!Q84=""),"N/R",Measurements!Q84/(10*10)),"-"))</f>
        <v>N/R</v>
      </c>
      <c r="L83" s="542" t="str">
        <f>IF(Data!$B87="","",IF(Data!AB87="Polymer",IF(OR(Measurements!X84="N/R",Measurements!X84=""),"N/R",Measurements!X84/(10*10)),"-"))</f>
        <v>N/R</v>
      </c>
      <c r="M83" s="542" t="str">
        <f>IF(Data!$B87="","",IF(Data!AB87="Polymer",IF(OR(Measurements!AI84="N/R",Measurements!AI84=""),"N/R",Measurements!AI84),"-"))</f>
        <v>N/R</v>
      </c>
      <c r="N83" s="544" t="str">
        <f>IF(Data!$B87="","",IF(Data!AB87="Polymer",IF(OR(Measurements!M84="N/R",Measurements!M84=""),"N/R",Measurements!M84),"-"))</f>
        <v>N/R</v>
      </c>
      <c r="O83" s="544" t="str">
        <f>IF(Data!$B87="","",IF(Data!AB87="Polymer",IF(OR(J83="N/R",J83=""),"N/R",J83/N83),"-"))</f>
        <v>N/R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>
      <c r="A84" s="90"/>
      <c r="B84" s="98" t="str">
        <f>IF(Data!$B88="","",IF(Data!AB88="Polymer",Data!A88,"Not Polymer"))</f>
        <v>HVIL001-UHMWPE-RT-AL-S10.0-0083</v>
      </c>
      <c r="C84" s="532">
        <f>IF(B84="","",Data!B88)</f>
        <v>44120.576388888891</v>
      </c>
      <c r="D84" s="399">
        <f>IF(Data!$B88="","",IF(Data!AB88="Polymer",Data!S88,"-"))</f>
        <v>3233.7638055035945</v>
      </c>
      <c r="E84" s="399" t="str">
        <f>IF(Data!$B88="","",IF(Data!AB88="Polymer",Data!I88,"-"))</f>
        <v>Aluminum (AL)</v>
      </c>
      <c r="F84" s="90" t="str">
        <f>IF(Data!$B88="","",IF(Data!AB88="Polymer",Data!AE88,"-"))</f>
        <v>UHMWPE (UHMWPE)</v>
      </c>
      <c r="G84" s="401">
        <f>IF(Data!$B88="","",IF(Data!AB88="Polymer",IF(OR(Data!AP88="N/R",Data!AP88=""),"N/R",Data!AP88*1000),"-"))</f>
        <v>1.9699999999999163</v>
      </c>
      <c r="H84" s="408">
        <f>IF(Data!$B88="","",IF(Data!AB88="Polymer",IF(OR(D84="N/R",D84=""),"N/R",D84/1000),"-"))</f>
        <v>3.2337638055035947</v>
      </c>
      <c r="I84" s="541" t="str">
        <f>IF(Data!$B88="","",IF(Data!AB88="Polymer",IF(OR(Data!T88="N/R",Data!T88=""),"N/R",Data!T88/1000),"-"))</f>
        <v>N/R</v>
      </c>
      <c r="J84" s="542" t="str">
        <f>IF(Data!$B88="","",IF(Data!AB88="Polymer",IF(OR(Measurements!P85="N/R",Measurements!P85=""),"N/R",Measurements!P85),"-"))</f>
        <v>N/R</v>
      </c>
      <c r="K84" s="542" t="str">
        <f>IF(Data!$B88="","",IF(Data!AB88="Polymer",IF(OR(Measurements!Q85="N/R",Measurements!Q85=""),"N/R",Measurements!Q85/(10*10)),"-"))</f>
        <v>N/R</v>
      </c>
      <c r="L84" s="542" t="str">
        <f>IF(Data!$B88="","",IF(Data!AB88="Polymer",IF(OR(Measurements!X85="N/R",Measurements!X85=""),"N/R",Measurements!X85/(10*10)),"-"))</f>
        <v>N/R</v>
      </c>
      <c r="M84" s="542" t="str">
        <f>IF(Data!$B88="","",IF(Data!AB88="Polymer",IF(OR(Measurements!AI85="N/R",Measurements!AI85=""),"N/R",Measurements!AI85),"-"))</f>
        <v>N/R</v>
      </c>
      <c r="N84" s="544" t="str">
        <f>IF(Data!$B88="","",IF(Data!AB88="Polymer",IF(OR(Measurements!M85="N/R",Measurements!M85=""),"N/R",Measurements!M85),"-"))</f>
        <v>N/R</v>
      </c>
      <c r="O84" s="544" t="str">
        <f>IF(Data!$B88="","",IF(Data!AB88="Polymer",IF(OR(J84="N/R",J84=""),"N/R",J84/N84),"-"))</f>
        <v>N/R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>
      <c r="A85" s="90"/>
      <c r="B85" s="98" t="str">
        <f>IF(Data!$B89="","",IF(Data!AB89="Polymer",Data!A89,"Not Polymer"))</f>
        <v>HVIL001-UHMWPE-RT-AL-S10.0-0084</v>
      </c>
      <c r="C85" s="532">
        <f>IF(B85="","",Data!B89)</f>
        <v>44120.631944444445</v>
      </c>
      <c r="D85" s="399">
        <f>IF(Data!$B89="","",IF(Data!AB89="Polymer",Data!S89,"-"))</f>
        <v>3496.4900892163246</v>
      </c>
      <c r="E85" s="399" t="str">
        <f>IF(Data!$B89="","",IF(Data!AB89="Polymer",Data!I89,"-"))</f>
        <v>Aluminum (AL)</v>
      </c>
      <c r="F85" s="90" t="str">
        <f>IF(Data!$B89="","",IF(Data!AB89="Polymer",Data!AE89,"-"))</f>
        <v>UHMWPE (UHMWPE)</v>
      </c>
      <c r="G85" s="401">
        <f>IF(Data!$B89="","",IF(Data!AB89="Polymer",IF(OR(Data!AP89="N/R",Data!AP89=""),"N/R",Data!AP89*1000),"-"))</f>
        <v>2.3499999999999632</v>
      </c>
      <c r="H85" s="408">
        <f>IF(Data!$B89="","",IF(Data!AB89="Polymer",IF(OR(D85="N/R",D85=""),"N/R",D85/1000),"-"))</f>
        <v>3.4964900892163246</v>
      </c>
      <c r="I85" s="541" t="str">
        <f>IF(Data!$B89="","",IF(Data!AB89="Polymer",IF(OR(Data!T89="N/R",Data!T89=""),"N/R",Data!T89/1000),"-"))</f>
        <v>N/R</v>
      </c>
      <c r="J85" s="542" t="str">
        <f>IF(Data!$B89="","",IF(Data!AB89="Polymer",IF(OR(Measurements!P86="N/R",Measurements!P86=""),"N/R",Measurements!P86),"-"))</f>
        <v>N/R</v>
      </c>
      <c r="K85" s="542" t="str">
        <f>IF(Data!$B89="","",IF(Data!AB89="Polymer",IF(OR(Measurements!Q86="N/R",Measurements!Q86=""),"N/R",Measurements!Q86/(10*10)),"-"))</f>
        <v>N/R</v>
      </c>
      <c r="L85" s="542" t="str">
        <f>IF(Data!$B89="","",IF(Data!AB89="Polymer",IF(OR(Measurements!X86="N/R",Measurements!X86=""),"N/R",Measurements!X86/(10*10)),"-"))</f>
        <v>N/R</v>
      </c>
      <c r="M85" s="542" t="str">
        <f>IF(Data!$B89="","",IF(Data!AB89="Polymer",IF(OR(Measurements!AI86="N/R",Measurements!AI86=""),"N/R",Measurements!AI86),"-"))</f>
        <v>N/R</v>
      </c>
      <c r="N85" s="544" t="str">
        <f>IF(Data!$B89="","",IF(Data!AB89="Polymer",IF(OR(Measurements!M86="N/R",Measurements!M86=""),"N/R",Measurements!M86),"-"))</f>
        <v>N/R</v>
      </c>
      <c r="O85" s="544" t="str">
        <f>IF(Data!$B89="","",IF(Data!AB89="Polymer",IF(OR(J85="N/R",J85=""),"N/R",J85/N85),"-"))</f>
        <v>N/R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>
      <c r="A86" s="90"/>
      <c r="B86" s="98" t="str">
        <f>IF(Data!$B90="","",IF(Data!AB90="Polymer",Data!A90,"Not Polymer"))</f>
        <v>HVIL001-HDPE-RT-AL-S10.0-0085</v>
      </c>
      <c r="C86" s="532">
        <f>IF(B86="","",Data!B90)</f>
        <v>44124</v>
      </c>
      <c r="D86" s="399">
        <f>IF(Data!$B90="","",IF(Data!AB90="Polymer",Data!S90,"-"))</f>
        <v>3106.9136845318139</v>
      </c>
      <c r="E86" s="399" t="str">
        <f>IF(Data!$B90="","",IF(Data!AB90="Polymer",Data!I90,"-"))</f>
        <v>Aluminum (AL)</v>
      </c>
      <c r="F86" s="90" t="str">
        <f>IF(Data!$B90="","",IF(Data!AB90="Polymer",Data!AE90,"-"))</f>
        <v>HDPE (HDPE)</v>
      </c>
      <c r="G86" s="401">
        <f>IF(Data!$B90="","",IF(Data!AB90="Polymer",IF(OR(Data!AP90="N/R",Data!AP90=""),"N/R",Data!AP90*1000),"-"))</f>
        <v>1.4199999999999768</v>
      </c>
      <c r="H86" s="408">
        <f>IF(Data!$B90="","",IF(Data!AB90="Polymer",IF(OR(D86="N/R",D86=""),"N/R",D86/1000),"-"))</f>
        <v>3.1069136845318139</v>
      </c>
      <c r="I86" s="541" t="str">
        <f>IF(Data!$B90="","",IF(Data!AB90="Polymer",IF(OR(Data!T90="N/R",Data!T90=""),"N/R",Data!T90/1000),"-"))</f>
        <v>N/R</v>
      </c>
      <c r="J86" s="542" t="str">
        <f>IF(Data!$B90="","",IF(Data!AB90="Polymer",IF(OR(Measurements!P87="N/R",Measurements!P87=""),"N/R",Measurements!P87),"-"))</f>
        <v>N/R</v>
      </c>
      <c r="K86" s="542" t="str">
        <f>IF(Data!$B90="","",IF(Data!AB90="Polymer",IF(OR(Measurements!Q87="N/R",Measurements!Q87=""),"N/R",Measurements!Q87/(10*10)),"-"))</f>
        <v>N/R</v>
      </c>
      <c r="L86" s="542" t="str">
        <f>IF(Data!$B90="","",IF(Data!AB90="Polymer",IF(OR(Measurements!X87="N/R",Measurements!X87=""),"N/R",Measurements!X87/(10*10)),"-"))</f>
        <v>N/R</v>
      </c>
      <c r="M86" s="542" t="str">
        <f>IF(Data!$B90="","",IF(Data!AB90="Polymer",IF(OR(Measurements!AI87="N/R",Measurements!AI87=""),"N/R",Measurements!AI87),"-"))</f>
        <v>N/R</v>
      </c>
      <c r="N86" s="544" t="str">
        <f>IF(Data!$B90="","",IF(Data!AB90="Polymer",IF(OR(Measurements!M87="N/R",Measurements!M87=""),"N/R",Measurements!M87),"-"))</f>
        <v>N/R</v>
      </c>
      <c r="O86" s="544" t="str">
        <f>IF(Data!$B90="","",IF(Data!AB90="Polymer",IF(OR(J86="N/R",J86=""),"N/R",J86/N86),"-"))</f>
        <v>N/R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>
      <c r="A87" s="90"/>
      <c r="B87" s="98" t="str">
        <f>IF(Data!$B91="","",IF(Data!AB91="Polymer",Data!A91,"Not Polymer"))</f>
        <v>HVIL001-HDPE-RT-AL-S10.0-0086</v>
      </c>
      <c r="C87" s="532">
        <f>IF(B87="","",Data!B91)</f>
        <v>44124.5625</v>
      </c>
      <c r="D87" s="399">
        <f>IF(Data!$B91="","",IF(Data!AB91="Polymer",Data!S91,"-"))</f>
        <v>3807.2950310992551</v>
      </c>
      <c r="E87" s="399" t="str">
        <f>IF(Data!$B91="","",IF(Data!AB91="Polymer",Data!I91,"-"))</f>
        <v>Aluminum (AL)</v>
      </c>
      <c r="F87" s="90" t="str">
        <f>IF(Data!$B91="","",IF(Data!AB91="Polymer",Data!AE91,"-"))</f>
        <v>HDPE (HDPE)</v>
      </c>
      <c r="G87" s="401">
        <f>IF(Data!$B91="","",IF(Data!AB91="Polymer",IF(OR(Data!AP91="N/R",Data!AP91=""),"N/R",Data!AP91*1000),"-"))</f>
        <v>1.6899999999999693</v>
      </c>
      <c r="H87" s="408">
        <f>IF(Data!$B91="","",IF(Data!AB91="Polymer",IF(OR(D87="N/R",D87=""),"N/R",D87/1000),"-"))</f>
        <v>3.807295031099255</v>
      </c>
      <c r="I87" s="541" t="str">
        <f>IF(Data!$B91="","",IF(Data!AB91="Polymer",IF(OR(Data!T91="N/R",Data!T91=""),"N/R",Data!T91/1000),"-"))</f>
        <v>N/R</v>
      </c>
      <c r="J87" s="542" t="str">
        <f>IF(Data!$B91="","",IF(Data!AB91="Polymer",IF(OR(Measurements!P88="N/R",Measurements!P88=""),"N/R",Measurements!P88),"-"))</f>
        <v>N/R</v>
      </c>
      <c r="K87" s="542" t="str">
        <f>IF(Data!$B91="","",IF(Data!AB91="Polymer",IF(OR(Measurements!Q88="N/R",Measurements!Q88=""),"N/R",Measurements!Q88/(10*10)),"-"))</f>
        <v>N/R</v>
      </c>
      <c r="L87" s="542" t="str">
        <f>IF(Data!$B91="","",IF(Data!AB91="Polymer",IF(OR(Measurements!X88="N/R",Measurements!X88=""),"N/R",Measurements!X88/(10*10)),"-"))</f>
        <v>N/R</v>
      </c>
      <c r="M87" s="542" t="str">
        <f>IF(Data!$B91="","",IF(Data!AB91="Polymer",IF(OR(Measurements!AI88="N/R",Measurements!AI88=""),"N/R",Measurements!AI88),"-"))</f>
        <v>N/R</v>
      </c>
      <c r="N87" s="544" t="str">
        <f>IF(Data!$B91="","",IF(Data!AB91="Polymer",IF(OR(Measurements!M88="N/R",Measurements!M88=""),"N/R",Measurements!M88),"-"))</f>
        <v>N/R</v>
      </c>
      <c r="O87" s="544" t="str">
        <f>IF(Data!$B91="","",IF(Data!AB91="Polymer",IF(OR(J87="N/R",J87=""),"N/R",J87/N87),"-"))</f>
        <v>N/R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>
      <c r="A88" s="90"/>
      <c r="B88" s="98" t="str">
        <f>IF(Data!$B92="","",IF(Data!AB92="Polymer",Data!A92,"Not Polymer"))</f>
        <v>Not Polymer</v>
      </c>
      <c r="C88" s="532">
        <f>IF(B88="","",Data!B92)</f>
        <v>44126.5625</v>
      </c>
      <c r="D88" s="399" t="str">
        <f>IF(Data!$B92="","",IF(Data!AB92="Polymer",Data!S92,"-"))</f>
        <v>-</v>
      </c>
      <c r="E88" s="399" t="str">
        <f>IF(Data!$B92="","",IF(Data!AB92="Polymer",Data!I92,"-"))</f>
        <v>-</v>
      </c>
      <c r="F88" s="90" t="str">
        <f>IF(Data!$B92="","",IF(Data!AB92="Polymer",Data!AE92,"-"))</f>
        <v>-</v>
      </c>
      <c r="G88" s="401" t="str">
        <f>IF(Data!$B92="","",IF(Data!AB92="Polymer",IF(OR(Data!AP92="N/R",Data!AP92=""),"N/R",Data!AP92*1000),"-"))</f>
        <v>-</v>
      </c>
      <c r="H88" s="408" t="str">
        <f>IF(Data!$B92="","",IF(Data!AB92="Polymer",IF(OR(D88="N/R",D88=""),"N/R",D88/1000),"-"))</f>
        <v>-</v>
      </c>
      <c r="I88" s="541" t="str">
        <f>IF(Data!$B92="","",IF(Data!AB92="Polymer",IF(OR(Data!T92="N/R",Data!T92=""),"N/R",Data!T92/1000),"-"))</f>
        <v>-</v>
      </c>
      <c r="J88" s="542" t="str">
        <f>IF(Data!$B92="","",IF(Data!AB92="Polymer",IF(OR(Measurements!P89="N/R",Measurements!P89=""),"N/R",Measurements!P89),"-"))</f>
        <v>-</v>
      </c>
      <c r="K88" s="542" t="str">
        <f>IF(Data!$B92="","",IF(Data!AB92="Polymer",IF(OR(Measurements!Q89="N/R",Measurements!Q89=""),"N/R",Measurements!Q89/(10*10)),"-"))</f>
        <v>-</v>
      </c>
      <c r="L88" s="542" t="str">
        <f>IF(Data!$B92="","",IF(Data!AB92="Polymer",IF(OR(Measurements!X89="N/R",Measurements!X89=""),"N/R",Measurements!X89/(10*10)),"-"))</f>
        <v>-</v>
      </c>
      <c r="M88" s="542" t="str">
        <f>IF(Data!$B92="","",IF(Data!AB92="Polymer",IF(OR(Measurements!AI89="N/R",Measurements!AI89=""),"N/R",Measurements!AI89),"-"))</f>
        <v>-</v>
      </c>
      <c r="N88" s="544" t="str">
        <f>IF(Data!$B92="","",IF(Data!AB92="Polymer",IF(OR(Measurements!M89="N/R",Measurements!M89=""),"N/R",Measurements!M89),"-"))</f>
        <v>-</v>
      </c>
      <c r="O88" s="544" t="str">
        <f>IF(Data!$B92="","",IF(Data!AB92="Polymer",IF(OR(J88="N/R",J88=""),"N/R",J88/N88),"-"))</f>
        <v>-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>
      <c r="A89" s="90"/>
      <c r="B89" s="98" t="str">
        <f>IF(Data!$B93="","",IF(Data!AB93="Polymer",Data!A93,"Not Polymer"))</f>
        <v>Not Polymer</v>
      </c>
      <c r="C89" s="532">
        <f>IF(B89="","",Data!B93)</f>
        <v>44127.423611111109</v>
      </c>
      <c r="D89" s="399" t="str">
        <f>IF(Data!$B93="","",IF(Data!AB93="Polymer",Data!S93,"-"))</f>
        <v>-</v>
      </c>
      <c r="E89" s="399" t="str">
        <f>IF(Data!$B93="","",IF(Data!AB93="Polymer",Data!I93,"-"))</f>
        <v>-</v>
      </c>
      <c r="F89" s="90" t="str">
        <f>IF(Data!$B93="","",IF(Data!AB93="Polymer",Data!AE93,"-"))</f>
        <v>-</v>
      </c>
      <c r="G89" s="401" t="str">
        <f>IF(Data!$B93="","",IF(Data!AB93="Polymer",IF(OR(Data!AP93="N/R",Data!AP93=""),"N/R",Data!AP93*1000),"-"))</f>
        <v>-</v>
      </c>
      <c r="H89" s="408" t="str">
        <f>IF(Data!$B93="","",IF(Data!AB93="Polymer",IF(OR(D89="N/R",D89=""),"N/R",D89/1000),"-"))</f>
        <v>-</v>
      </c>
      <c r="I89" s="541" t="str">
        <f>IF(Data!$B93="","",IF(Data!AB93="Polymer",IF(OR(Data!T93="N/R",Data!T93=""),"N/R",Data!T93/1000),"-"))</f>
        <v>-</v>
      </c>
      <c r="J89" s="542" t="str">
        <f>IF(Data!$B93="","",IF(Data!AB93="Polymer",IF(OR(Measurements!P90="N/R",Measurements!P90=""),"N/R",Measurements!P90),"-"))</f>
        <v>-</v>
      </c>
      <c r="K89" s="542" t="str">
        <f>IF(Data!$B93="","",IF(Data!AB93="Polymer",IF(OR(Measurements!Q90="N/R",Measurements!Q90=""),"N/R",Measurements!Q90/(10*10)),"-"))</f>
        <v>-</v>
      </c>
      <c r="L89" s="542" t="str">
        <f>IF(Data!$B93="","",IF(Data!AB93="Polymer",IF(OR(Measurements!X90="N/R",Measurements!X90=""),"N/R",Measurements!X90/(10*10)),"-"))</f>
        <v>-</v>
      </c>
      <c r="M89" s="542" t="str">
        <f>IF(Data!$B93="","",IF(Data!AB93="Polymer",IF(OR(Measurements!AI90="N/R",Measurements!AI90=""),"N/R",Measurements!AI90),"-"))</f>
        <v>-</v>
      </c>
      <c r="N89" s="544" t="str">
        <f>IF(Data!$B93="","",IF(Data!AB93="Polymer",IF(OR(Measurements!M90="N/R",Measurements!M90=""),"N/R",Measurements!M90),"-"))</f>
        <v>-</v>
      </c>
      <c r="O89" s="544" t="str">
        <f>IF(Data!$B93="","",IF(Data!AB93="Polymer",IF(OR(J89="N/R",J89=""),"N/R",J89/N89),"-"))</f>
        <v>-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>
      <c r="A90" s="90"/>
      <c r="B90" s="98" t="str">
        <f>IF(Data!$B94="","",IF(Data!AB94="Polymer",Data!A94,"Not Polymer"))</f>
        <v>HVIL001-HDPE-RT-AL-S10.0-0089</v>
      </c>
      <c r="C90" s="532">
        <f>IF(B90="","",Data!B94)</f>
        <v>44137.479166666664</v>
      </c>
      <c r="D90" s="399">
        <f>IF(Data!$B94="","",IF(Data!AB94="Polymer",Data!S94,"-"))</f>
        <v>5933.1</v>
      </c>
      <c r="E90" s="399" t="str">
        <f>IF(Data!$B94="","",IF(Data!AB94="Polymer",Data!I94,"-"))</f>
        <v>Aluminum (AL)</v>
      </c>
      <c r="F90" s="90" t="str">
        <f>IF(Data!$B94="","",IF(Data!AB94="Polymer",Data!AE94,"-"))</f>
        <v>HDPE (HDPE)</v>
      </c>
      <c r="G90" s="401">
        <f>IF(Data!$B94="","",IF(Data!AB94="Polymer",IF(OR(Data!AP94="N/R",Data!AP94=""),"N/R",Data!AP94*1000),"-"))</f>
        <v>2.57</v>
      </c>
      <c r="H90" s="408">
        <f>IF(Data!$B94="","",IF(Data!AB94="Polymer",IF(OR(D90="N/R",D90=""),"N/R",D90/1000),"-"))</f>
        <v>5.9331000000000005</v>
      </c>
      <c r="I90" s="541" t="str">
        <f>IF(Data!$B94="","",IF(Data!AB94="Polymer",IF(OR(Data!T94="N/R",Data!T94=""),"N/R",Data!T94/1000),"-"))</f>
        <v>N/R</v>
      </c>
      <c r="J90" s="542" t="str">
        <f>IF(Data!$B94="","",IF(Data!AB94="Polymer",IF(OR(Measurements!P91="N/R",Measurements!P91=""),"N/R",Measurements!P91),"-"))</f>
        <v>N/R</v>
      </c>
      <c r="K90" s="542" t="str">
        <f>IF(Data!$B94="","",IF(Data!AB94="Polymer",IF(OR(Measurements!Q91="N/R",Measurements!Q91=""),"N/R",Measurements!Q91/(10*10)),"-"))</f>
        <v>N/R</v>
      </c>
      <c r="L90" s="542" t="str">
        <f>IF(Data!$B94="","",IF(Data!AB94="Polymer",IF(OR(Measurements!X91="N/R",Measurements!X91=""),"N/R",Measurements!X91/(10*10)),"-"))</f>
        <v>N/R</v>
      </c>
      <c r="M90" s="542" t="str">
        <f>IF(Data!$B94="","",IF(Data!AB94="Polymer",IF(OR(Measurements!AI91="N/R",Measurements!AI91=""),"N/R",Measurements!AI91),"-"))</f>
        <v>N/R</v>
      </c>
      <c r="N90" s="544" t="str">
        <f>IF(Data!$B94="","",IF(Data!AB94="Polymer",IF(OR(Measurements!M91="N/R",Measurements!M91=""),"N/R",Measurements!M91),"-"))</f>
        <v>N/R</v>
      </c>
      <c r="O90" s="544" t="str">
        <f>IF(Data!$B94="","",IF(Data!AB94="Polymer",IF(OR(J90="N/R",J90=""),"N/R",J90/N90),"-"))</f>
        <v>N/R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>
      <c r="A91" s="90"/>
      <c r="B91" s="98" t="str">
        <f>IF(Data!$B95="","",IF(Data!AB95="Polymer",Data!A95,"Not Polymer"))</f>
        <v>HVIL001-HDPE-RT-AL-S10.0-0090</v>
      </c>
      <c r="C91" s="532">
        <f>IF(B91="","",Data!B95)</f>
        <v>44138.510416666664</v>
      </c>
      <c r="D91" s="399">
        <f>IF(Data!$B95="","",IF(Data!AB95="Polymer",Data!S95,"-"))</f>
        <v>3896.5</v>
      </c>
      <c r="E91" s="399" t="str">
        <f>IF(Data!$B95="","",IF(Data!AB95="Polymer",Data!I95,"-"))</f>
        <v>Aluminum (AL)</v>
      </c>
      <c r="F91" s="90" t="str">
        <f>IF(Data!$B95="","",IF(Data!AB95="Polymer",Data!AE95,"-"))</f>
        <v>HDPE (HDPE)</v>
      </c>
      <c r="G91" s="401">
        <f>IF(Data!$B95="","",IF(Data!AB95="Polymer",IF(OR(Data!AP95="N/R",Data!AP95=""),"N/R",Data!AP95*1000),"-"))</f>
        <v>1.79</v>
      </c>
      <c r="H91" s="408">
        <f>IF(Data!$B95="","",IF(Data!AB95="Polymer",IF(OR(D91="N/R",D91=""),"N/R",D91/1000),"-"))</f>
        <v>3.8965000000000001</v>
      </c>
      <c r="I91" s="541" t="str">
        <f>IF(Data!$B95="","",IF(Data!AB95="Polymer",IF(OR(Data!T95="N/R",Data!T95=""),"N/R",Data!T95/1000),"-"))</f>
        <v>N/R</v>
      </c>
      <c r="J91" s="542" t="str">
        <f>IF(Data!$B95="","",IF(Data!AB95="Polymer",IF(OR(Measurements!P92="N/R",Measurements!P92=""),"N/R",Measurements!P92),"-"))</f>
        <v>N/R</v>
      </c>
      <c r="K91" s="542" t="str">
        <f>IF(Data!$B95="","",IF(Data!AB95="Polymer",IF(OR(Measurements!Q92="N/R",Measurements!Q92=""),"N/R",Measurements!Q92/(10*10)),"-"))</f>
        <v>N/R</v>
      </c>
      <c r="L91" s="542" t="str">
        <f>IF(Data!$B95="","",IF(Data!AB95="Polymer",IF(OR(Measurements!X92="N/R",Measurements!X92=""),"N/R",Measurements!X92/(10*10)),"-"))</f>
        <v>N/R</v>
      </c>
      <c r="M91" s="542" t="str">
        <f>IF(Data!$B95="","",IF(Data!AB95="Polymer",IF(OR(Measurements!AI92="N/R",Measurements!AI92=""),"N/R",Measurements!AI92),"-"))</f>
        <v>N/R</v>
      </c>
      <c r="N91" s="544" t="str">
        <f>IF(Data!$B95="","",IF(Data!AB95="Polymer",IF(OR(Measurements!M92="N/R",Measurements!M92=""),"N/R",Measurements!M92),"-"))</f>
        <v>N/R</v>
      </c>
      <c r="O91" s="544" t="str">
        <f>IF(Data!$B95="","",IF(Data!AB95="Polymer",IF(OR(J91="N/R",J91=""),"N/R",J91/N91),"-"))</f>
        <v>N/R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>
      <c r="A92" s="90"/>
      <c r="B92" s="98" t="str">
        <f>IF(Data!$B96="","",IF(Data!AB96="Polymer",Data!A96,"Not Polymer"))</f>
        <v>HVIL001-WATER-RT-PC-C12.7-0091</v>
      </c>
      <c r="C92" s="532">
        <f>IF(B92="","",Data!B96)</f>
        <v>44148.479166666664</v>
      </c>
      <c r="D92" s="399">
        <f>IF(Data!$B96="","",IF(Data!AB96="Polymer",Data!S96,"-"))</f>
        <v>2433.5</v>
      </c>
      <c r="E92" s="399" t="str">
        <f>IF(Data!$B96="","",IF(Data!AB96="Polymer",Data!I96,"-"))</f>
        <v>Polycarbonate (PC)</v>
      </c>
      <c r="F92" s="90" t="str">
        <f>IF(Data!$B96="","",IF(Data!AB96="Polymer",Data!AE96,"-"))</f>
        <v>PMMA (PMMA)</v>
      </c>
      <c r="G92" s="401">
        <f>IF(Data!$B96="","",IF(Data!AB96="Polymer",IF(OR(Data!AP96="N/R",Data!AP96=""),"N/R",Data!AP96*1000),"-"))</f>
        <v>8.1300000000000008</v>
      </c>
      <c r="H92" s="408">
        <f>IF(Data!$B96="","",IF(Data!AB96="Polymer",IF(OR(D92="N/R",D92=""),"N/R",D92/1000),"-"))</f>
        <v>2.4335</v>
      </c>
      <c r="I92" s="541" t="str">
        <f>IF(Data!$B96="","",IF(Data!AB96="Polymer",IF(OR(Data!T96="N/R",Data!T96=""),"N/R",Data!T96/1000),"-"))</f>
        <v>N/R</v>
      </c>
      <c r="J92" s="542" t="str">
        <f>IF(Data!$B96="","",IF(Data!AB96="Polymer",IF(OR(Measurements!P93="N/R",Measurements!P93=""),"N/R",Measurements!P93),"-"))</f>
        <v>N/R</v>
      </c>
      <c r="K92" s="542" t="str">
        <f>IF(Data!$B96="","",IF(Data!AB96="Polymer",IF(OR(Measurements!Q93="N/R",Measurements!Q93=""),"N/R",Measurements!Q93/(10*10)),"-"))</f>
        <v>N/R</v>
      </c>
      <c r="L92" s="542" t="str">
        <f>IF(Data!$B96="","",IF(Data!AB96="Polymer",IF(OR(Measurements!X93="N/R",Measurements!X93=""),"N/R",Measurements!X93/(10*10)),"-"))</f>
        <v>N/R</v>
      </c>
      <c r="M92" s="542" t="str">
        <f>IF(Data!$B96="","",IF(Data!AB96="Polymer",IF(OR(Measurements!AI93="N/R",Measurements!AI93=""),"N/R",Measurements!AI93),"-"))</f>
        <v>N/R</v>
      </c>
      <c r="N92" s="544" t="str">
        <f>IF(Data!$B96="","",IF(Data!AB96="Polymer",IF(OR(Measurements!M93="N/R",Measurements!M93=""),"N/R",Measurements!M93),"-"))</f>
        <v>N/R</v>
      </c>
      <c r="O92" s="544" t="str">
        <f>IF(Data!$B96="","",IF(Data!AB96="Polymer",IF(OR(J92="N/R",J92=""),"N/R",J92/N92),"-"))</f>
        <v>N/R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>
      <c r="A93" s="90"/>
      <c r="B93" s="98" t="str">
        <f>IF(Data!$B97="","",IF(Data!AB97="Polymer",Data!A97,"Not Polymer"))</f>
        <v>Not Polymer</v>
      </c>
      <c r="C93" s="532">
        <f>IF(B93="","",Data!B97)</f>
        <v>44156.489583333336</v>
      </c>
      <c r="D93" s="399" t="str">
        <f>IF(Data!$B97="","",IF(Data!AB97="Polymer",Data!S97,"-"))</f>
        <v>-</v>
      </c>
      <c r="E93" s="399" t="str">
        <f>IF(Data!$B97="","",IF(Data!AB97="Polymer",Data!I97,"-"))</f>
        <v>-</v>
      </c>
      <c r="F93" s="90" t="str">
        <f>IF(Data!$B97="","",IF(Data!AB97="Polymer",Data!AE97,"-"))</f>
        <v>-</v>
      </c>
      <c r="G93" s="401" t="str">
        <f>IF(Data!$B97="","",IF(Data!AB97="Polymer",IF(OR(Data!AP97="N/R",Data!AP97=""),"N/R",Data!AP97*1000),"-"))</f>
        <v>-</v>
      </c>
      <c r="H93" s="408" t="str">
        <f>IF(Data!$B97="","",IF(Data!AB97="Polymer",IF(OR(D93="N/R",D93=""),"N/R",D93/1000),"-"))</f>
        <v>-</v>
      </c>
      <c r="I93" s="541" t="str">
        <f>IF(Data!$B97="","",IF(Data!AB97="Polymer",IF(OR(Data!T97="N/R",Data!T97=""),"N/R",Data!T97/1000),"-"))</f>
        <v>-</v>
      </c>
      <c r="J93" s="542" t="str">
        <f>IF(Data!$B97="","",IF(Data!AB97="Polymer",IF(OR(Measurements!P94="N/R",Measurements!P94=""),"N/R",Measurements!P94),"-"))</f>
        <v>-</v>
      </c>
      <c r="K93" s="542" t="str">
        <f>IF(Data!$B97="","",IF(Data!AB97="Polymer",IF(OR(Measurements!Q94="N/R",Measurements!Q94=""),"N/R",Measurements!Q94/(10*10)),"-"))</f>
        <v>-</v>
      </c>
      <c r="L93" s="542" t="str">
        <f>IF(Data!$B97="","",IF(Data!AB97="Polymer",IF(OR(Measurements!X94="N/R",Measurements!X94=""),"N/R",Measurements!X94/(10*10)),"-"))</f>
        <v>-</v>
      </c>
      <c r="M93" s="542" t="str">
        <f>IF(Data!$B97="","",IF(Data!AB97="Polymer",IF(OR(Measurements!AI94="N/R",Measurements!AI94=""),"N/R",Measurements!AI94),"-"))</f>
        <v>-</v>
      </c>
      <c r="N93" s="544" t="str">
        <f>IF(Data!$B97="","",IF(Data!AB97="Polymer",IF(OR(Measurements!M94="N/R",Measurements!M94=""),"N/R",Measurements!M94),"-"))</f>
        <v>-</v>
      </c>
      <c r="O93" s="544" t="str">
        <f>IF(Data!$B97="","",IF(Data!AB97="Polymer",IF(OR(J93="N/R",J93=""),"N/R",J93/N93),"-"))</f>
        <v>-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>
      <c r="A94" s="90"/>
      <c r="B94" s="98" t="str">
        <f>IF(Data!$B98="","",IF(Data!AB98="Polymer",Data!A98,"Not Polymer"))</f>
        <v>HVIL001-UHMWPE-RT-AL-S10.0-0093</v>
      </c>
      <c r="C94" s="532">
        <f>IF(B94="","",Data!B98)</f>
        <v>44158.625</v>
      </c>
      <c r="D94" s="399">
        <f>IF(Data!$B98="","",IF(Data!AB98="Polymer",Data!S98,"-"))</f>
        <v>2434.9</v>
      </c>
      <c r="E94" s="399" t="str">
        <f>IF(Data!$B98="","",IF(Data!AB98="Polymer",Data!I98,"-"))</f>
        <v>Aluminum (AL)</v>
      </c>
      <c r="F94" s="90" t="str">
        <f>IF(Data!$B98="","",IF(Data!AB98="Polymer",Data!AE98,"-"))</f>
        <v>UHMWPE (UHMWPE)</v>
      </c>
      <c r="G94" s="401">
        <f>IF(Data!$B98="","",IF(Data!AB98="Polymer",IF(OR(Data!AP98="N/R",Data!AP98=""),"N/R",Data!AP98*1000),"-"))</f>
        <v>1.6</v>
      </c>
      <c r="H94" s="408">
        <f>IF(Data!$B98="","",IF(Data!AB98="Polymer",IF(OR(D94="N/R",D94=""),"N/R",D94/1000),"-"))</f>
        <v>2.4349000000000003</v>
      </c>
      <c r="I94" s="541" t="str">
        <f>IF(Data!$B98="","",IF(Data!AB98="Polymer",IF(OR(Data!T98="N/R",Data!T98=""),"N/R",Data!T98/1000),"-"))</f>
        <v>N/R</v>
      </c>
      <c r="J94" s="542" t="str">
        <f>IF(Data!$B98="","",IF(Data!AB98="Polymer",IF(OR(Measurements!P95="N/R",Measurements!P95=""),"N/R",Measurements!P95),"-"))</f>
        <v>N/R</v>
      </c>
      <c r="K94" s="542" t="str">
        <f>IF(Data!$B98="","",IF(Data!AB98="Polymer",IF(OR(Measurements!Q95="N/R",Measurements!Q95=""),"N/R",Measurements!Q95/(10*10)),"-"))</f>
        <v>N/R</v>
      </c>
      <c r="L94" s="542" t="str">
        <f>IF(Data!$B98="","",IF(Data!AB98="Polymer",IF(OR(Measurements!X95="N/R",Measurements!X95=""),"N/R",Measurements!X95/(10*10)),"-"))</f>
        <v>N/R</v>
      </c>
      <c r="M94" s="542" t="str">
        <f>IF(Data!$B98="","",IF(Data!AB98="Polymer",IF(OR(Measurements!AI95="N/R",Measurements!AI95=""),"N/R",Measurements!AI95),"-"))</f>
        <v>N/R</v>
      </c>
      <c r="N94" s="544" t="str">
        <f>IF(Data!$B98="","",IF(Data!AB98="Polymer",IF(OR(Measurements!M95="N/R",Measurements!M95=""),"N/R",Measurements!M95),"-"))</f>
        <v>N/R</v>
      </c>
      <c r="O94" s="544" t="str">
        <f>IF(Data!$B98="","",IF(Data!AB98="Polymer",IF(OR(J94="N/R",J94=""),"N/R",J94/N94),"-"))</f>
        <v>N/R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>
      <c r="A95" s="90"/>
      <c r="B95" s="98" t="str">
        <f>IF(Data!$B99="","",IF(Data!AB99="Polymer",Data!A99,"Not Polymer"))</f>
        <v>Not Polymer</v>
      </c>
      <c r="C95" s="532">
        <f>IF(B95="","",Data!B99)</f>
        <v>44175.489583333336</v>
      </c>
      <c r="D95" s="399" t="str">
        <f>IF(Data!$B99="","",IF(Data!AB99="Polymer",Data!S99,"-"))</f>
        <v>-</v>
      </c>
      <c r="E95" s="399" t="str">
        <f>IF(Data!$B99="","",IF(Data!AB99="Polymer",Data!I99,"-"))</f>
        <v>-</v>
      </c>
      <c r="F95" s="90" t="str">
        <f>IF(Data!$B99="","",IF(Data!AB99="Polymer",Data!AE99,"-"))</f>
        <v>-</v>
      </c>
      <c r="G95" s="401" t="str">
        <f>IF(Data!$B99="","",IF(Data!AB99="Polymer",IF(OR(Data!AP99="N/R",Data!AP99=""),"N/R",Data!AP99*1000),"-"))</f>
        <v>-</v>
      </c>
      <c r="H95" s="408" t="str">
        <f>IF(Data!$B99="","",IF(Data!AB99="Polymer",IF(OR(D95="N/R",D95=""),"N/R",D95/1000),"-"))</f>
        <v>-</v>
      </c>
      <c r="I95" s="541" t="str">
        <f>IF(Data!$B99="","",IF(Data!AB99="Polymer",IF(OR(Data!T99="N/R",Data!T99=""),"N/R",Data!T99/1000),"-"))</f>
        <v>-</v>
      </c>
      <c r="J95" s="542" t="str">
        <f>IF(Data!$B99="","",IF(Data!AB99="Polymer",IF(OR(Measurements!P96="N/R",Measurements!P96=""),"N/R",Measurements!P96),"-"))</f>
        <v>-</v>
      </c>
      <c r="K95" s="542" t="str">
        <f>IF(Data!$B99="","",IF(Data!AB99="Polymer",IF(OR(Measurements!Q96="N/R",Measurements!Q96=""),"N/R",Measurements!Q96/(10*10)),"-"))</f>
        <v>-</v>
      </c>
      <c r="L95" s="542" t="str">
        <f>IF(Data!$B99="","",IF(Data!AB99="Polymer",IF(OR(Measurements!X96="N/R",Measurements!X96=""),"N/R",Measurements!X96/(10*10)),"-"))</f>
        <v>-</v>
      </c>
      <c r="M95" s="542" t="str">
        <f>IF(Data!$B99="","",IF(Data!AB99="Polymer",IF(OR(Measurements!AI96="N/R",Measurements!AI96=""),"N/R",Measurements!AI96),"-"))</f>
        <v>-</v>
      </c>
      <c r="N95" s="544" t="str">
        <f>IF(Data!$B99="","",IF(Data!AB99="Polymer",IF(OR(Measurements!M96="N/R",Measurements!M96=""),"N/R",Measurements!M96),"-"))</f>
        <v>-</v>
      </c>
      <c r="O95" s="544" t="str">
        <f>IF(Data!$B99="","",IF(Data!AB99="Polymer",IF(OR(J95="N/R",J95=""),"N/R",J95/N95),"-"))</f>
        <v>-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>
      <c r="A96" s="90"/>
      <c r="B96" s="98" t="str">
        <f>IF(Data!$B100="","",IF(Data!AB100="Polymer",Data!A100,"Not Polymer"))</f>
        <v>HVIL001-HDPE-RT-AL-S10.0-0095</v>
      </c>
      <c r="C96" s="532">
        <f>IF(B96="","",Data!B100)</f>
        <v>44195.590277777781</v>
      </c>
      <c r="D96" s="399">
        <f>IF(Data!$B100="","",IF(Data!AB100="Polymer",Data!S100,"-"))</f>
        <v>2397.1999999999998</v>
      </c>
      <c r="E96" s="399" t="str">
        <f>IF(Data!$B100="","",IF(Data!AB100="Polymer",Data!I100,"-"))</f>
        <v>Aluminum (AL)</v>
      </c>
      <c r="F96" s="90" t="str">
        <f>IF(Data!$B100="","",IF(Data!AB100="Polymer",Data!AE100,"-"))</f>
        <v>HDPE (HDPE)</v>
      </c>
      <c r="G96" s="401">
        <f>IF(Data!$B100="","",IF(Data!AB100="Polymer",IF(OR(Data!AP100="N/R",Data!AP100=""),"N/R",Data!AP100*1000),"-"))</f>
        <v>1.0399999999999998</v>
      </c>
      <c r="H96" s="408">
        <f>IF(Data!$B100="","",IF(Data!AB100="Polymer",IF(OR(D96="N/R",D96=""),"N/R",D96/1000),"-"))</f>
        <v>2.3971999999999998</v>
      </c>
      <c r="I96" s="541" t="str">
        <f>IF(Data!$B100="","",IF(Data!AB100="Polymer",IF(OR(Data!T100="N/R",Data!T100=""),"N/R",Data!T100/1000),"-"))</f>
        <v>N/R</v>
      </c>
      <c r="J96" s="542" t="str">
        <f>IF(Data!$B100="","",IF(Data!AB100="Polymer",IF(OR(Measurements!P97="N/R",Measurements!P97=""),"N/R",Measurements!P97),"-"))</f>
        <v>N/R</v>
      </c>
      <c r="K96" s="542" t="str">
        <f>IF(Data!$B100="","",IF(Data!AB100="Polymer",IF(OR(Measurements!Q97="N/R",Measurements!Q97=""),"N/R",Measurements!Q97/(10*10)),"-"))</f>
        <v>N/R</v>
      </c>
      <c r="L96" s="542" t="str">
        <f>IF(Data!$B100="","",IF(Data!AB100="Polymer",IF(OR(Measurements!X97="N/R",Measurements!X97=""),"N/R",Measurements!X97/(10*10)),"-"))</f>
        <v>N/R</v>
      </c>
      <c r="M96" s="542" t="str">
        <f>IF(Data!$B100="","",IF(Data!AB100="Polymer",IF(OR(Measurements!AI97="N/R",Measurements!AI97=""),"N/R",Measurements!AI97),"-"))</f>
        <v>N/R</v>
      </c>
      <c r="N96" s="544" t="str">
        <f>IF(Data!$B100="","",IF(Data!AB100="Polymer",IF(OR(Measurements!M97="N/R",Measurements!M97=""),"N/R",Measurements!M97),"-"))</f>
        <v>N/R</v>
      </c>
      <c r="O96" s="544" t="str">
        <f>IF(Data!$B100="","",IF(Data!AB100="Polymer",IF(OR(J96="N/R",J96=""),"N/R",J96/N96),"-"))</f>
        <v>N/R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42">
      <c r="A97" s="90"/>
      <c r="B97" s="98" t="str">
        <f>IF(Data!$B101="","",IF(Data!AB101="Polymer",Data!A101,"Not Polymer"))</f>
        <v>HVIL001-HDPE-RT-AL-S10.0-0096</v>
      </c>
      <c r="C97" s="532">
        <f>IF(B97="","",Data!B101)</f>
        <v>44200.618055555555</v>
      </c>
      <c r="D97" s="399">
        <f>IF(Data!$B101="","",IF(Data!AB101="Polymer",Data!S101,"-"))</f>
        <v>1966.3</v>
      </c>
      <c r="E97" s="399" t="str">
        <f>IF(Data!$B101="","",IF(Data!AB101="Polymer",Data!I101,"-"))</f>
        <v>Aluminum (AL)</v>
      </c>
      <c r="F97" s="90" t="str">
        <f>IF(Data!$B101="","",IF(Data!AB101="Polymer",Data!AE101,"-"))</f>
        <v>HDPE (HDPE)</v>
      </c>
      <c r="G97" s="401">
        <f>IF(Data!$B101="","",IF(Data!AB101="Polymer",IF(OR(Data!AP101="N/R",Data!AP101=""),"N/R",Data!AP101*1000),"-"))</f>
        <v>0.93</v>
      </c>
      <c r="H97" s="408">
        <f>IF(Data!$B101="","",IF(Data!AB101="Polymer",IF(OR(D97="N/R",D97=""),"N/R",D97/1000),"-"))</f>
        <v>1.9662999999999999</v>
      </c>
      <c r="I97" s="541" t="str">
        <f>IF(Data!$B101="","",IF(Data!AB101="Polymer",IF(OR(Data!T101="N/R",Data!T101=""),"N/R",Data!T101/1000),"-"))</f>
        <v>N/R</v>
      </c>
      <c r="J97" s="542" t="str">
        <f>IF(Data!$B101="","",IF(Data!AB101="Polymer",IF(OR(Measurements!P98="N/R",Measurements!P98=""),"N/R",Measurements!P98),"-"))</f>
        <v>N/R</v>
      </c>
      <c r="K97" s="542" t="str">
        <f>IF(Data!$B101="","",IF(Data!AB101="Polymer",IF(OR(Measurements!Q98="N/R",Measurements!Q98=""),"N/R",Measurements!Q98/(10*10)),"-"))</f>
        <v>N/R</v>
      </c>
      <c r="L97" s="542" t="str">
        <f>IF(Data!$B101="","",IF(Data!AB101="Polymer",IF(OR(Measurements!X98="N/R",Measurements!X98=""),"N/R",Measurements!X98/(10*10)),"-"))</f>
        <v>N/R</v>
      </c>
      <c r="M97" s="542" t="str">
        <f>IF(Data!$B101="","",IF(Data!AB101="Polymer",IF(OR(Measurements!AI98="N/R",Measurements!AI98=""),"N/R",Measurements!AI98),"-"))</f>
        <v>N/R</v>
      </c>
      <c r="N97" s="544" t="str">
        <f>IF(Data!$B101="","",IF(Data!AB101="Polymer",IF(OR(Measurements!M98="N/R",Measurements!M98=""),"N/R",Measurements!M98),"-"))</f>
        <v>N/R</v>
      </c>
      <c r="O97" s="544" t="str">
        <f>IF(Data!$B101="","",IF(Data!AB101="Polymer",IF(OR(J97="N/R",J97=""),"N/R",J97/N97),"-"))</f>
        <v>N/R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42">
      <c r="A98" s="90"/>
      <c r="B98" s="98" t="str">
        <f>IF(Data!$B102="","",IF(Data!AB102="Polymer",Data!A102,"Not Polymer"))</f>
        <v>Not Polymer</v>
      </c>
      <c r="C98" s="532">
        <f>IF(B98="","",Data!B102)</f>
        <v>44204</v>
      </c>
      <c r="D98" s="399" t="str">
        <f>IF(Data!$B102="","",IF(Data!AB102="Polymer",Data!S102,"-"))</f>
        <v>-</v>
      </c>
      <c r="E98" s="399" t="str">
        <f>IF(Data!$B102="","",IF(Data!AB102="Polymer",Data!I102,"-"))</f>
        <v>-</v>
      </c>
      <c r="F98" s="90" t="str">
        <f>IF(Data!$B102="","",IF(Data!AB102="Polymer",Data!AE102,"-"))</f>
        <v>-</v>
      </c>
      <c r="G98" s="401" t="str">
        <f>IF(Data!$B102="","",IF(Data!AB102="Polymer",IF(OR(Data!AP102="N/R",Data!AP102=""),"N/R",Data!AP102*1000),"-"))</f>
        <v>-</v>
      </c>
      <c r="H98" s="408" t="str">
        <f>IF(Data!$B102="","",IF(Data!AB102="Polymer",IF(OR(D98="N/R",D98=""),"N/R",D98/1000),"-"))</f>
        <v>-</v>
      </c>
      <c r="I98" s="541" t="str">
        <f>IF(Data!$B102="","",IF(Data!AB102="Polymer",IF(OR(Data!T102="N/R",Data!T102=""),"N/R",Data!T102/1000),"-"))</f>
        <v>-</v>
      </c>
      <c r="J98" s="542" t="str">
        <f>IF(Data!$B102="","",IF(Data!AB102="Polymer",IF(OR(Measurements!P99="N/R",Measurements!P99=""),"N/R",Measurements!P99),"-"))</f>
        <v>-</v>
      </c>
      <c r="K98" s="542" t="str">
        <f>IF(Data!$B102="","",IF(Data!AB102="Polymer",IF(OR(Measurements!Q99="N/R",Measurements!Q99=""),"N/R",Measurements!Q99/(10*10)),"-"))</f>
        <v>-</v>
      </c>
      <c r="L98" s="542" t="str">
        <f>IF(Data!$B102="","",IF(Data!AB102="Polymer",IF(OR(Measurements!X99="N/R",Measurements!X99=""),"N/R",Measurements!X99/(10*10)),"-"))</f>
        <v>-</v>
      </c>
      <c r="M98" s="542" t="str">
        <f>IF(Data!$B102="","",IF(Data!AB102="Polymer",IF(OR(Measurements!AI99="N/R",Measurements!AI99=""),"N/R",Measurements!AI99),"-"))</f>
        <v>-</v>
      </c>
      <c r="N98" s="544" t="str">
        <f>IF(Data!$B102="","",IF(Data!AB102="Polymer",IF(OR(Measurements!M99="N/R",Measurements!M99=""),"N/R",Measurements!M99),"-"))</f>
        <v>-</v>
      </c>
      <c r="O98" s="544" t="str">
        <f>IF(Data!$B102="","",IF(Data!AB102="Polymer",IF(OR(J98="N/R",J98=""),"N/R",J98/N98),"-"))</f>
        <v>-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42">
      <c r="A99" s="90"/>
      <c r="B99" s="98" t="str">
        <f>IF(Data!$B103="","",IF(Data!AB103="Polymer",Data!A103,"Not Polymer"))</f>
        <v/>
      </c>
      <c r="C99" s="532" t="str">
        <f>IF(B99="","",Data!B103)</f>
        <v/>
      </c>
      <c r="D99" s="399" t="str">
        <f>IF(Data!$B103="","",IF(Data!AB103="Polymer",Data!S103,"-"))</f>
        <v/>
      </c>
      <c r="E99" s="399" t="str">
        <f>IF(Data!$B103="","",IF(Data!AB103="Polymer",Data!I103,"-"))</f>
        <v/>
      </c>
      <c r="F99" s="90" t="str">
        <f>IF(Data!$B103="","",IF(Data!AB103="Polymer",Data!AE103,"-"))</f>
        <v/>
      </c>
      <c r="G99" s="401" t="str">
        <f>IF(Data!$B103="","",IF(Data!AB103="Polymer",IF(OR(Data!AP103="N/R",Data!AP103=""),"N/R",Data!AP103*1000),"-"))</f>
        <v/>
      </c>
      <c r="H99" s="408" t="str">
        <f>IF(Data!$B103="","",IF(Data!AB103="Polymer",IF(OR(D99="N/R",D99=""),"N/R",D99/1000),"-"))</f>
        <v/>
      </c>
      <c r="I99" s="541" t="str">
        <f>IF(Data!$B103="","",IF(Data!AB103="Polymer",IF(OR(Data!T103="N/R",Data!T103=""),"N/R",Data!T103/1000),"-"))</f>
        <v/>
      </c>
      <c r="J99" s="542" t="str">
        <f>IF(Data!$B103="","",IF(Data!AB103="Polymer",IF(OR(Measurements!P100="N/R",Measurements!P100=""),"N/R",Measurements!P100),"-"))</f>
        <v/>
      </c>
      <c r="K99" s="542" t="str">
        <f>IF(Data!$B103="","",IF(Data!AB103="Polymer",IF(OR(Measurements!Q100="N/R",Measurements!Q100=""),"N/R",Measurements!Q100/(10*10)),"-"))</f>
        <v/>
      </c>
      <c r="L99" s="542" t="str">
        <f>IF(Data!$B103="","",IF(Data!AB103="Polymer",IF(OR(Measurements!X100="N/R",Measurements!X100=""),"N/R",Measurements!X100/(10*10)),"-"))</f>
        <v/>
      </c>
      <c r="M99" s="542" t="str">
        <f>IF(Data!$B103="","",IF(Data!AB103="Polymer",IF(OR(Measurements!AI100="N/R",Measurements!AI100=""),"N/R",Measurements!AI100),"-"))</f>
        <v/>
      </c>
      <c r="N99" s="544" t="str">
        <f>IF(Data!$B103="","",IF(Data!AB103="Polymer",IF(OR(Measurements!M100="N/R",Measurements!M100=""),"N/R",Measurements!M100),"-"))</f>
        <v/>
      </c>
      <c r="O99" s="544" t="str">
        <f>IF(Data!$B103="","",IF(Data!AB103="Polymer",IF(OR(J99="N/R",J99=""),"N/R",J99/N99),"-"))</f>
        <v/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42">
      <c r="A100" s="90"/>
      <c r="B100" s="98" t="str">
        <f>IF(Data!$B104="","",IF(Data!AB104="Polymer",Data!A104,"Not Polymer"))</f>
        <v/>
      </c>
      <c r="C100" s="532" t="str">
        <f>IF(B100="","",Data!B104)</f>
        <v/>
      </c>
      <c r="D100" s="399" t="str">
        <f>IF(Data!$B104="","",IF(Data!AB104="Polymer",Data!S104,"-"))</f>
        <v/>
      </c>
      <c r="E100" s="399" t="str">
        <f>IF(Data!$B104="","",IF(Data!AB104="Polymer",Data!I104,"-"))</f>
        <v/>
      </c>
      <c r="F100" s="90" t="str">
        <f>IF(Data!$B104="","",IF(Data!AB104="Polymer",Data!AE104,"-"))</f>
        <v/>
      </c>
      <c r="G100" s="401" t="str">
        <f>IF(Data!$B104="","",IF(Data!AB104="Polymer",IF(OR(Data!AP104="N/R",Data!AP104=""),"N/R",Data!AP104*1000),"-"))</f>
        <v/>
      </c>
      <c r="H100" s="408" t="str">
        <f>IF(Data!$B104="","",IF(Data!AB104="Polymer",IF(OR(D100="N/R",D100=""),"N/R",D100/1000),"-"))</f>
        <v/>
      </c>
      <c r="I100" s="541" t="str">
        <f>IF(Data!$B104="","",IF(Data!AB104="Polymer",IF(OR(Data!T104="N/R",Data!T104=""),"N/R",Data!T104/1000),"-"))</f>
        <v/>
      </c>
      <c r="J100" s="542" t="str">
        <f>IF(Data!$B104="","",IF(Data!AB104="Polymer",IF(OR(Measurements!P101="N/R",Measurements!P101=""),"N/R",Measurements!P101),"-"))</f>
        <v/>
      </c>
      <c r="K100" s="542" t="str">
        <f>IF(Data!$B104="","",IF(Data!AB104="Polymer",IF(OR(Measurements!Q101="N/R",Measurements!Q101=""),"N/R",Measurements!Q101/(10*10)),"-"))</f>
        <v/>
      </c>
      <c r="L100" s="542" t="str">
        <f>IF(Data!$B104="","",IF(Data!AB104="Polymer",IF(OR(Measurements!X101="N/R",Measurements!X101=""),"N/R",Measurements!X101/(10*10)),"-"))</f>
        <v/>
      </c>
      <c r="M100" s="542" t="str">
        <f>IF(Data!$B104="","",IF(Data!AB104="Polymer",IF(OR(Measurements!AI101="N/R",Measurements!AI101=""),"N/R",Measurements!AI101),"-"))</f>
        <v/>
      </c>
      <c r="N100" s="544" t="str">
        <f>IF(Data!$B104="","",IF(Data!AB104="Polymer",IF(OR(Measurements!M101="N/R",Measurements!M101=""),"N/R",Measurements!M101),"-"))</f>
        <v/>
      </c>
      <c r="O100" s="544" t="str">
        <f>IF(Data!$B104="","",IF(Data!AB104="Polymer",IF(OR(J100="N/R",J100=""),"N/R",J100/N100),"-"))</f>
        <v/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42">
      <c r="A101" s="90"/>
      <c r="B101" s="98" t="str">
        <f>IF(Data!$B105="","",IF(Data!AB105="Polymer",Data!A105,"Not Polymer"))</f>
        <v/>
      </c>
      <c r="C101" s="532" t="str">
        <f>IF(B101="","",Data!B105)</f>
        <v/>
      </c>
      <c r="D101" s="399" t="str">
        <f>IF(Data!$B105="","",IF(Data!AB105="Polymer",Data!S105,"-"))</f>
        <v/>
      </c>
      <c r="E101" s="399" t="str">
        <f>IF(Data!$B105="","",IF(Data!AB105="Polymer",Data!I105,"-"))</f>
        <v/>
      </c>
      <c r="F101" s="90" t="str">
        <f>IF(Data!$B105="","",IF(Data!AB105="Polymer",Data!AE105,"-"))</f>
        <v/>
      </c>
      <c r="G101" s="401" t="str">
        <f>IF(Data!$B105="","",IF(Data!AB105="Polymer",IF(OR(Data!AP105="N/R",Data!AP105=""),"N/R",Data!AP105*1000),"-"))</f>
        <v/>
      </c>
      <c r="H101" s="408" t="str">
        <f>IF(Data!$B105="","",IF(Data!AB105="Polymer",IF(OR(D101="N/R",D101=""),"N/R",D101/1000),"-"))</f>
        <v/>
      </c>
      <c r="I101" s="541" t="str">
        <f>IF(Data!$B105="","",IF(Data!AB105="Polymer",IF(OR(Data!T105="N/R",Data!T105=""),"N/R",Data!T105/1000),"-"))</f>
        <v/>
      </c>
      <c r="J101" s="542" t="str">
        <f>IF(Data!$B105="","",IF(Data!AB105="Polymer",IF(OR(Measurements!P102="N/R",Measurements!P102=""),"N/R",Measurements!P102),"-"))</f>
        <v/>
      </c>
      <c r="K101" s="542" t="str">
        <f>IF(Data!$B105="","",IF(Data!AB105="Polymer",IF(OR(Measurements!Q102="N/R",Measurements!Q102=""),"N/R",Measurements!Q102/(10*10)),"-"))</f>
        <v/>
      </c>
      <c r="L101" s="542" t="str">
        <f>IF(Data!$B105="","",IF(Data!AB105="Polymer",IF(OR(Measurements!X102="N/R",Measurements!X102=""),"N/R",Measurements!X102/(10*10)),"-"))</f>
        <v/>
      </c>
      <c r="M101" s="542" t="str">
        <f>IF(Data!$B105="","",IF(Data!AB105="Polymer",IF(OR(Measurements!AI102="N/R",Measurements!AI102=""),"N/R",Measurements!AI102),"-"))</f>
        <v/>
      </c>
      <c r="N101" s="544" t="str">
        <f>IF(Data!$B105="","",IF(Data!AB105="Polymer",IF(OR(Measurements!M102="N/R",Measurements!M102=""),"N/R",Measurements!M102),"-"))</f>
        <v/>
      </c>
      <c r="O101" s="544" t="str">
        <f>IF(Data!$B105="","",IF(Data!AB105="Polymer",IF(OR(J101="N/R",J101=""),"N/R",J101/N101),"-"))</f>
        <v/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42">
      <c r="A102" s="90"/>
      <c r="B102" s="98" t="str">
        <f>IF(Data!$B106="","",IF(Data!AB106="Polymer",Data!A106,"Not Polymer"))</f>
        <v/>
      </c>
      <c r="C102" s="532" t="str">
        <f>IF(B102="","",Data!B106)</f>
        <v/>
      </c>
      <c r="D102" s="399" t="str">
        <f>IF(Data!$B106="","",IF(Data!AB106="Polymer",Data!S106,"-"))</f>
        <v/>
      </c>
      <c r="E102" s="399" t="str">
        <f>IF(Data!$B106="","",IF(Data!AB106="Polymer",Data!I106,"-"))</f>
        <v/>
      </c>
      <c r="F102" s="90" t="str">
        <f>IF(Data!$B106="","",IF(Data!AB106="Polymer",Data!AE106,"-"))</f>
        <v/>
      </c>
      <c r="G102" s="401" t="str">
        <f>IF(Data!$B106="","",IF(Data!AB106="Polymer",IF(OR(Data!AP106="N/R",Data!AP106=""),"N/R",Data!AP106*1000),"-"))</f>
        <v/>
      </c>
      <c r="H102" s="408" t="str">
        <f>IF(Data!$B106="","",IF(Data!AB106="Polymer",IF(OR(D102="N/R",D102=""),"N/R",D102/1000),"-"))</f>
        <v/>
      </c>
      <c r="I102" s="541" t="str">
        <f>IF(Data!$B106="","",IF(Data!AB106="Polymer",IF(OR(Data!T106="N/R",Data!T106=""),"N/R",Data!T106/1000),"-"))</f>
        <v/>
      </c>
      <c r="J102" s="542" t="str">
        <f>IF(Data!$B106="","",IF(Data!AB106="Polymer",IF(OR(Measurements!P103="N/R",Measurements!P103=""),"N/R",Measurements!P103),"-"))</f>
        <v/>
      </c>
      <c r="K102" s="542" t="str">
        <f>IF(Data!$B106="","",IF(Data!AB106="Polymer",IF(OR(Measurements!Q103="N/R",Measurements!Q103=""),"N/R",Measurements!Q103/(10*10)),"-"))</f>
        <v/>
      </c>
      <c r="L102" s="542" t="str">
        <f>IF(Data!$B106="","",IF(Data!AB106="Polymer",IF(OR(Measurements!X103="N/R",Measurements!X103=""),"N/R",Measurements!X103/(10*10)),"-"))</f>
        <v/>
      </c>
      <c r="M102" s="542" t="str">
        <f>IF(Data!$B106="","",IF(Data!AB106="Polymer",IF(OR(Measurements!AI103="N/R",Measurements!AI103=""),"N/R",Measurements!AI103),"-"))</f>
        <v/>
      </c>
      <c r="N102" s="544" t="str">
        <f>IF(Data!$B106="","",IF(Data!AB106="Polymer",IF(OR(Measurements!M103="N/R",Measurements!M103=""),"N/R",Measurements!M103),"-"))</f>
        <v/>
      </c>
      <c r="O102" s="544" t="str">
        <f>IF(Data!$B106="","",IF(Data!AB106="Polymer",IF(OR(J102="N/R",J102=""),"N/R",J102/N102),"-"))</f>
        <v/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42">
      <c r="A103" s="90"/>
      <c r="B103" s="98" t="str">
        <f>IF(Data!$B107="","",IF(Data!AB107="Polymer",Data!A107,"Not Polymer"))</f>
        <v/>
      </c>
      <c r="C103" s="532" t="str">
        <f>IF(B103="","",Data!B107)</f>
        <v/>
      </c>
      <c r="D103" s="399" t="str">
        <f>IF(Data!$B107="","",IF(Data!AB107="Polymer",Data!S107,"-"))</f>
        <v/>
      </c>
      <c r="E103" s="399" t="str">
        <f>IF(Data!$B107="","",IF(Data!AB107="Polymer",Data!I107,"-"))</f>
        <v/>
      </c>
      <c r="F103" s="90" t="str">
        <f>IF(Data!$B107="","",IF(Data!AB107="Polymer",Data!AE107,"-"))</f>
        <v/>
      </c>
      <c r="G103" s="401" t="str">
        <f>IF(Data!$B107="","",IF(Data!AB107="Polymer",IF(OR(Data!AP107="N/R",Data!AP107=""),"N/R",Data!AP107*1000),"-"))</f>
        <v/>
      </c>
      <c r="H103" s="408" t="str">
        <f>IF(Data!$B107="","",IF(Data!AB107="Polymer",IF(OR(D103="N/R",D103=""),"N/R",D103/1000),"-"))</f>
        <v/>
      </c>
      <c r="I103" s="541" t="str">
        <f>IF(Data!$B107="","",IF(Data!AB107="Polymer",IF(OR(Data!T107="N/R",Data!T107=""),"N/R",Data!T107/1000),"-"))</f>
        <v/>
      </c>
      <c r="J103" s="542" t="str">
        <f>IF(Data!$B107="","",IF(Data!AB107="Polymer",IF(OR(Measurements!P104="N/R",Measurements!P104=""),"N/R",Measurements!P104),"-"))</f>
        <v/>
      </c>
      <c r="K103" s="542" t="str">
        <f>IF(Data!$B107="","",IF(Data!AB107="Polymer",IF(OR(Measurements!Q104="N/R",Measurements!Q104=""),"N/R",Measurements!Q104/(10*10)),"-"))</f>
        <v/>
      </c>
      <c r="L103" s="542" t="str">
        <f>IF(Data!$B107="","",IF(Data!AB107="Polymer",IF(OR(Measurements!X104="N/R",Measurements!X104=""),"N/R",Measurements!X104/(10*10)),"-"))</f>
        <v/>
      </c>
      <c r="M103" s="542" t="str">
        <f>IF(Data!$B107="","",IF(Data!AB107="Polymer",IF(OR(Measurements!AI104="N/R",Measurements!AI104=""),"N/R",Measurements!AI104),"-"))</f>
        <v/>
      </c>
      <c r="N103" s="544" t="str">
        <f>IF(Data!$B107="","",IF(Data!AB107="Polymer",IF(OR(Measurements!M104="N/R",Measurements!M104=""),"N/R",Measurements!M104),"-"))</f>
        <v/>
      </c>
      <c r="O103" s="544" t="str">
        <f>IF(Data!$B107="","",IF(Data!AB107="Polymer",IF(OR(J103="N/R",J103=""),"N/R",J103/N103),"-"))</f>
        <v/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42">
      <c r="A104" s="90"/>
      <c r="B104" s="98" t="str">
        <f>IF(Data!$B108="","",IF(Data!AB108="Polymer",Data!A108,"Not Polymer"))</f>
        <v/>
      </c>
      <c r="C104" s="532" t="str">
        <f>IF(B104="","",Data!B108)</f>
        <v/>
      </c>
      <c r="D104" s="399" t="str">
        <f>IF(Data!$B108="","",IF(Data!AB108="Polymer",Data!S108,"-"))</f>
        <v/>
      </c>
      <c r="E104" s="399" t="str">
        <f>IF(Data!$B108="","",IF(Data!AB108="Polymer",Data!I108,"-"))</f>
        <v/>
      </c>
      <c r="F104" s="90" t="str">
        <f>IF(Data!$B108="","",IF(Data!AB108="Polymer",Data!AE108,"-"))</f>
        <v/>
      </c>
      <c r="G104" s="401" t="str">
        <f>IF(Data!$B108="","",IF(Data!AB108="Polymer",IF(OR(Data!AP108="N/R",Data!AP108=""),"N/R",Data!AP108*1000),"-"))</f>
        <v/>
      </c>
      <c r="H104" s="408" t="str">
        <f>IF(Data!$B108="","",IF(Data!AB108="Polymer",IF(OR(D104="N/R",D104=""),"N/R",D104/1000),"-"))</f>
        <v/>
      </c>
      <c r="I104" s="541" t="str">
        <f>IF(Data!$B108="","",IF(Data!AB108="Polymer",IF(OR(Data!T108="N/R",Data!T108=""),"N/R",Data!T108/1000),"-"))</f>
        <v/>
      </c>
      <c r="J104" s="542" t="str">
        <f>IF(Data!$B108="","",IF(Data!AB108="Polymer",IF(OR(Measurements!P105="N/R",Measurements!P105=""),"N/R",Measurements!P105),"-"))</f>
        <v/>
      </c>
      <c r="K104" s="542" t="str">
        <f>IF(Data!$B108="","",IF(Data!AB108="Polymer",IF(OR(Measurements!Q105="N/R",Measurements!Q105=""),"N/R",Measurements!Q105/(10*10)),"-"))</f>
        <v/>
      </c>
      <c r="L104" s="542" t="str">
        <f>IF(Data!$B108="","",IF(Data!AB108="Polymer",IF(OR(Measurements!X105="N/R",Measurements!X105=""),"N/R",Measurements!X105/(10*10)),"-"))</f>
        <v/>
      </c>
      <c r="M104" s="542" t="str">
        <f>IF(Data!$B108="","",IF(Data!AB108="Polymer",IF(OR(Measurements!AI105="N/R",Measurements!AI105=""),"N/R",Measurements!AI105),"-"))</f>
        <v/>
      </c>
      <c r="N104" s="544" t="str">
        <f>IF(Data!$B108="","",IF(Data!AB108="Polymer",IF(OR(Measurements!M105="N/R",Measurements!M105=""),"N/R",Measurements!M105),"-"))</f>
        <v/>
      </c>
      <c r="O104" s="544" t="str">
        <f>IF(Data!$B108="","",IF(Data!AB108="Polymer",IF(OR(J104="N/R",J104=""),"N/R",J104/N104),"-"))</f>
        <v/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42">
      <c r="A105" s="90"/>
      <c r="B105" s="98" t="str">
        <f>IF(Data!$B109="","",IF(Data!AB109="Polymer",Data!A109,"Not Polymer"))</f>
        <v/>
      </c>
      <c r="C105" s="532" t="str">
        <f>IF(B105="","",Data!B109)</f>
        <v/>
      </c>
      <c r="D105" s="399" t="str">
        <f>IF(Data!$B109="","",IF(Data!AB109="Polymer",Data!S109,"-"))</f>
        <v/>
      </c>
      <c r="E105" s="399" t="str">
        <f>IF(Data!$B109="","",IF(Data!AB109="Polymer",Data!I109,"-"))</f>
        <v/>
      </c>
      <c r="F105" s="90" t="str">
        <f>IF(Data!$B109="","",IF(Data!AB109="Polymer",Data!AE109,"-"))</f>
        <v/>
      </c>
      <c r="G105" s="401" t="str">
        <f>IF(Data!$B109="","",IF(Data!AB109="Polymer",IF(OR(Data!AP109="N/R",Data!AP109=""),"N/R",Data!AP109*1000),"-"))</f>
        <v/>
      </c>
      <c r="H105" s="408" t="str">
        <f>IF(Data!$B109="","",IF(Data!AB109="Polymer",IF(OR(D105="N/R",D105=""),"N/R",D105/1000),"-"))</f>
        <v/>
      </c>
      <c r="I105" s="541" t="str">
        <f>IF(Data!$B109="","",IF(Data!AB109="Polymer",IF(OR(Data!T109="N/R",Data!T109=""),"N/R",Data!T109/1000),"-"))</f>
        <v/>
      </c>
      <c r="J105" s="542" t="str">
        <f>IF(Data!$B109="","",IF(Data!AB109="Polymer",IF(OR(Measurements!P106="N/R",Measurements!P106=""),"N/R",Measurements!P106),"-"))</f>
        <v/>
      </c>
      <c r="K105" s="542" t="str">
        <f>IF(Data!$B109="","",IF(Data!AB109="Polymer",IF(OR(Measurements!Q106="N/R",Measurements!Q106=""),"N/R",Measurements!Q106/(10*10)),"-"))</f>
        <v/>
      </c>
      <c r="L105" s="542" t="str">
        <f>IF(Data!$B109="","",IF(Data!AB109="Polymer",IF(OR(Measurements!X106="N/R",Measurements!X106=""),"N/R",Measurements!X106/(10*10)),"-"))</f>
        <v/>
      </c>
      <c r="M105" s="542" t="str">
        <f>IF(Data!$B109="","",IF(Data!AB109="Polymer",IF(OR(Measurements!AI106="N/R",Measurements!AI106=""),"N/R",Measurements!AI106),"-"))</f>
        <v/>
      </c>
      <c r="N105" s="544" t="str">
        <f>IF(Data!$B109="","",IF(Data!AB109="Polymer",IF(OR(Measurements!M106="N/R",Measurements!M106=""),"N/R",Measurements!M106),"-"))</f>
        <v/>
      </c>
      <c r="O105" s="544" t="str">
        <f>IF(Data!$B109="","",IF(Data!AB109="Polymer",IF(OR(J105="N/R",J105=""),"N/R",J105/N105),"-"))</f>
        <v/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42">
      <c r="A106" s="90"/>
      <c r="B106" s="98" t="str">
        <f>IF(Data!$B110="","",IF(Data!AB110="Polymer",Data!A110,"Not Polymer"))</f>
        <v/>
      </c>
      <c r="C106" s="532" t="str">
        <f>IF(B106="","",Data!B110)</f>
        <v/>
      </c>
      <c r="D106" s="399" t="str">
        <f>IF(Data!$B110="","",IF(Data!AB110="Polymer",Data!S110,"-"))</f>
        <v/>
      </c>
      <c r="E106" s="399" t="str">
        <f>IF(Data!$B110="","",IF(Data!AB110="Polymer",Data!I110,"-"))</f>
        <v/>
      </c>
      <c r="F106" s="90" t="str">
        <f>IF(Data!$B110="","",IF(Data!AB110="Polymer",Data!AE110,"-"))</f>
        <v/>
      </c>
      <c r="G106" s="401" t="str">
        <f>IF(Data!$B110="","",IF(Data!AB110="Polymer",IF(OR(Data!AP110="N/R",Data!AP110=""),"N/R",Data!AP110*1000),"-"))</f>
        <v/>
      </c>
      <c r="H106" s="408" t="str">
        <f>IF(Data!$B110="","",IF(Data!AB110="Polymer",IF(OR(D106="N/R",D106=""),"N/R",D106/1000),"-"))</f>
        <v/>
      </c>
      <c r="I106" s="541" t="str">
        <f>IF(Data!$B110="","",IF(Data!AB110="Polymer",IF(OR(Data!T110="N/R",Data!T110=""),"N/R",Data!T110/1000),"-"))</f>
        <v/>
      </c>
      <c r="J106" s="542" t="str">
        <f>IF(Data!$B110="","",IF(Data!AB110="Polymer",IF(OR(Measurements!P107="N/R",Measurements!P107=""),"N/R",Measurements!P107),"-"))</f>
        <v/>
      </c>
      <c r="K106" s="542" t="str">
        <f>IF(Data!$B110="","",IF(Data!AB110="Polymer",IF(OR(Measurements!Q107="N/R",Measurements!Q107=""),"N/R",Measurements!Q107/(10*10)),"-"))</f>
        <v/>
      </c>
      <c r="L106" s="542" t="str">
        <f>IF(Data!$B110="","",IF(Data!AB110="Polymer",IF(OR(Measurements!X107="N/R",Measurements!X107=""),"N/R",Measurements!X107/(10*10)),"-"))</f>
        <v/>
      </c>
      <c r="M106" s="542" t="str">
        <f>IF(Data!$B110="","",IF(Data!AB110="Polymer",IF(OR(Measurements!AI107="N/R",Measurements!AI107=""),"N/R",Measurements!AI107),"-"))</f>
        <v/>
      </c>
      <c r="N106" s="544" t="str">
        <f>IF(Data!$B110="","",IF(Data!AB110="Polymer",IF(OR(Measurements!M107="N/R",Measurements!M107=""),"N/R",Measurements!M107),"-"))</f>
        <v/>
      </c>
      <c r="O106" s="544" t="str">
        <f>IF(Data!$B110="","",IF(Data!AB110="Polymer",IF(OR(J106="N/R",J106=""),"N/R",J106/N106),"-"))</f>
        <v/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42">
      <c r="A107" s="90"/>
      <c r="B107" s="98" t="str">
        <f>IF(Data!$B111="","",IF(Data!AB111="Polymer",Data!A111,"Not Polymer"))</f>
        <v/>
      </c>
      <c r="C107" s="532" t="str">
        <f>IF(B107="","",Data!B111)</f>
        <v/>
      </c>
      <c r="D107" s="399" t="str">
        <f>IF(Data!$B111="","",IF(Data!AB111="Polymer",Data!S111,"-"))</f>
        <v/>
      </c>
      <c r="E107" s="399" t="str">
        <f>IF(Data!$B111="","",IF(Data!AB111="Polymer",Data!I111,"-"))</f>
        <v/>
      </c>
      <c r="F107" s="90" t="str">
        <f>IF(Data!$B111="","",IF(Data!AB111="Polymer",Data!AE111,"-"))</f>
        <v/>
      </c>
      <c r="G107" s="401" t="str">
        <f>IF(Data!$B111="","",IF(Data!AB111="Polymer",IF(OR(Data!AP111="N/R",Data!AP111=""),"N/R",Data!AP111*1000),"-"))</f>
        <v/>
      </c>
      <c r="H107" s="408" t="str">
        <f>IF(Data!$B111="","",IF(Data!AB111="Polymer",IF(OR(D107="N/R",D107=""),"N/R",D107/1000),"-"))</f>
        <v/>
      </c>
      <c r="I107" s="541" t="str">
        <f>IF(Data!$B111="","",IF(Data!AB111="Polymer",IF(OR(Data!T111="N/R",Data!T111=""),"N/R",Data!T111/1000),"-"))</f>
        <v/>
      </c>
      <c r="J107" s="542" t="str">
        <f>IF(Data!$B111="","",IF(Data!AB111="Polymer",IF(OR(Measurements!P108="N/R",Measurements!P108=""),"N/R",Measurements!P108),"-"))</f>
        <v/>
      </c>
      <c r="K107" s="542" t="str">
        <f>IF(Data!$B111="","",IF(Data!AB111="Polymer",IF(OR(Measurements!Q108="N/R",Measurements!Q108=""),"N/R",Measurements!Q108/(10*10)),"-"))</f>
        <v/>
      </c>
      <c r="L107" s="542" t="str">
        <f>IF(Data!$B111="","",IF(Data!AB111="Polymer",IF(OR(Measurements!X108="N/R",Measurements!X108=""),"N/R",Measurements!X108/(10*10)),"-"))</f>
        <v/>
      </c>
      <c r="M107" s="542" t="str">
        <f>IF(Data!$B111="","",IF(Data!AB111="Polymer",IF(OR(Measurements!AI108="N/R",Measurements!AI108=""),"N/R",Measurements!AI108),"-"))</f>
        <v/>
      </c>
      <c r="N107" s="544" t="str">
        <f>IF(Data!$B111="","",IF(Data!AB111="Polymer",IF(OR(Measurements!M108="N/R",Measurements!M108=""),"N/R",Measurements!M108),"-"))</f>
        <v/>
      </c>
      <c r="O107" s="544" t="str">
        <f>IF(Data!$B111="","",IF(Data!AB111="Polymer",IF(OR(J107="N/R",J107=""),"N/R",J107/N107),"-"))</f>
        <v/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42">
      <c r="A108" s="90"/>
      <c r="B108" s="98" t="str">
        <f>IF(Data!$B112="","",IF(Data!AB112="Polymer",Data!A112,"Not Polymer"))</f>
        <v/>
      </c>
      <c r="C108" s="532" t="str">
        <f>IF(B108="","",Data!B112)</f>
        <v/>
      </c>
      <c r="D108" s="399" t="str">
        <f>IF(Data!$B112="","",IF(Data!AB112="Polymer",Data!S112,"-"))</f>
        <v/>
      </c>
      <c r="E108" s="399" t="str">
        <f>IF(Data!$B112="","",IF(Data!AB112="Polymer",Data!I112,"-"))</f>
        <v/>
      </c>
      <c r="F108" s="90" t="str">
        <f>IF(Data!$B112="","",IF(Data!AB112="Polymer",Data!AE112,"-"))</f>
        <v/>
      </c>
      <c r="G108" s="401" t="str">
        <f>IF(Data!$B112="","",IF(Data!AB112="Polymer",IF(OR(Data!AP112="N/R",Data!AP112=""),"N/R",Data!AP112*1000),"-"))</f>
        <v/>
      </c>
      <c r="H108" s="408" t="str">
        <f>IF(Data!$B112="","",IF(Data!AB112="Polymer",IF(OR(D108="N/R",D108=""),"N/R",D108/1000),"-"))</f>
        <v/>
      </c>
      <c r="I108" s="541" t="str">
        <f>IF(Data!$B112="","",IF(Data!AB112="Polymer",IF(OR(Data!T112="N/R",Data!T112=""),"N/R",Data!T112/1000),"-"))</f>
        <v/>
      </c>
      <c r="J108" s="542" t="str">
        <f>IF(Data!$B112="","",IF(Data!AB112="Polymer",IF(OR(Measurements!P109="N/R",Measurements!P109=""),"N/R",Measurements!P109),"-"))</f>
        <v/>
      </c>
      <c r="K108" s="542" t="str">
        <f>IF(Data!$B112="","",IF(Data!AB112="Polymer",IF(OR(Measurements!Q109="N/R",Measurements!Q109=""),"N/R",Measurements!Q109/(10*10)),"-"))</f>
        <v/>
      </c>
      <c r="L108" s="542" t="str">
        <f>IF(Data!$B112="","",IF(Data!AB112="Polymer",IF(OR(Measurements!X109="N/R",Measurements!X109=""),"N/R",Measurements!X109/(10*10)),"-"))</f>
        <v/>
      </c>
      <c r="M108" s="542" t="str">
        <f>IF(Data!$B112="","",IF(Data!AB112="Polymer",IF(OR(Measurements!AI109="N/R",Measurements!AI109=""),"N/R",Measurements!AI109),"-"))</f>
        <v/>
      </c>
      <c r="N108" s="544" t="str">
        <f>IF(Data!$B112="","",IF(Data!AB112="Polymer",IF(OR(Measurements!M109="N/R",Measurements!M109=""),"N/R",Measurements!M109),"-"))</f>
        <v/>
      </c>
      <c r="O108" s="544" t="str">
        <f>IF(Data!$B112="","",IF(Data!AB112="Polymer",IF(OR(J108="N/R",J108=""),"N/R",J108/N108),"-"))</f>
        <v/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42">
      <c r="A109" s="90"/>
      <c r="B109" s="98" t="str">
        <f>IF(Data!$B113="","",IF(Data!AB113="Polymer",Data!A113,"Not Polymer"))</f>
        <v/>
      </c>
      <c r="C109" s="532" t="str">
        <f>IF(B109="","",Data!B113)</f>
        <v/>
      </c>
      <c r="D109" s="399" t="str">
        <f>IF(Data!$B113="","",IF(Data!AB113="Polymer",Data!S113,"-"))</f>
        <v/>
      </c>
      <c r="E109" s="399" t="str">
        <f>IF(Data!$B113="","",IF(Data!AB113="Polymer",Data!I113,"-"))</f>
        <v/>
      </c>
      <c r="F109" s="90" t="str">
        <f>IF(Data!$B113="","",IF(Data!AB113="Polymer",Data!AE113,"-"))</f>
        <v/>
      </c>
      <c r="G109" s="401" t="str">
        <f>IF(Data!$B113="","",IF(Data!AB113="Polymer",IF(OR(Data!AP113="N/R",Data!AP113=""),"N/R",Data!AP113*1000),"-"))</f>
        <v/>
      </c>
      <c r="H109" s="408" t="str">
        <f>IF(Data!$B113="","",IF(Data!AB113="Polymer",IF(OR(D109="N/R",D109=""),"N/R",D109/1000),"-"))</f>
        <v/>
      </c>
      <c r="I109" s="541" t="str">
        <f>IF(Data!$B113="","",IF(Data!AB113="Polymer",IF(OR(Data!T113="N/R",Data!T113=""),"N/R",Data!T113/1000),"-"))</f>
        <v/>
      </c>
      <c r="J109" s="542" t="str">
        <f>IF(Data!$B113="","",IF(Data!AB113="Polymer",IF(OR(Measurements!P110="N/R",Measurements!P110=""),"N/R",Measurements!P110),"-"))</f>
        <v/>
      </c>
      <c r="K109" s="542" t="str">
        <f>IF(Data!$B113="","",IF(Data!AB113="Polymer",IF(OR(Measurements!Q110="N/R",Measurements!Q110=""),"N/R",Measurements!Q110/(10*10)),"-"))</f>
        <v/>
      </c>
      <c r="L109" s="542" t="str">
        <f>IF(Data!$B113="","",IF(Data!AB113="Polymer",IF(OR(Measurements!X110="N/R",Measurements!X110=""),"N/R",Measurements!X110/(10*10)),"-"))</f>
        <v/>
      </c>
      <c r="M109" s="542" t="str">
        <f>IF(Data!$B113="","",IF(Data!AB113="Polymer",IF(OR(Measurements!AI110="N/R",Measurements!AI110=""),"N/R",Measurements!AI110),"-"))</f>
        <v/>
      </c>
      <c r="N109" s="544" t="str">
        <f>IF(Data!$B113="","",IF(Data!AB113="Polymer",IF(OR(Measurements!M110="N/R",Measurements!M110=""),"N/R",Measurements!M110),"-"))</f>
        <v/>
      </c>
      <c r="O109" s="544" t="str">
        <f>IF(Data!$B113="","",IF(Data!AB113="Polymer",IF(OR(J109="N/R",J109=""),"N/R",J109/N109),"-"))</f>
        <v/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42">
      <c r="A110" s="90"/>
      <c r="B110" s="98" t="str">
        <f>IF(Data!$B114="","",IF(Data!AB114="Polymer",Data!A114,"Not Polymer"))</f>
        <v/>
      </c>
      <c r="C110" s="532" t="str">
        <f>IF(B110="","",Data!B114)</f>
        <v/>
      </c>
      <c r="D110" s="399" t="str">
        <f>IF(Data!$B114="","",IF(Data!AB114="Polymer",Data!S114,"-"))</f>
        <v/>
      </c>
      <c r="E110" s="399" t="str">
        <f>IF(Data!$B114="","",IF(Data!AB114="Polymer",Data!I114,"-"))</f>
        <v/>
      </c>
      <c r="F110" s="90" t="str">
        <f>IF(Data!$B114="","",IF(Data!AB114="Polymer",Data!AE114,"-"))</f>
        <v/>
      </c>
      <c r="G110" s="401" t="str">
        <f>IF(Data!$B114="","",IF(Data!AB114="Polymer",IF(OR(Data!AP114="N/R",Data!AP114=""),"N/R",Data!AP114*1000),"-"))</f>
        <v/>
      </c>
      <c r="H110" s="408" t="str">
        <f>IF(Data!$B114="","",IF(Data!AB114="Polymer",IF(OR(D110="N/R",D110=""),"N/R",D110/1000),"-"))</f>
        <v/>
      </c>
      <c r="I110" s="541" t="str">
        <f>IF(Data!$B114="","",IF(Data!AB114="Polymer",IF(OR(Data!T114="N/R",Data!T114=""),"N/R",Data!T114/1000),"-"))</f>
        <v/>
      </c>
      <c r="J110" s="542" t="str">
        <f>IF(Data!$B114="","",IF(Data!AB114="Polymer",IF(OR(Measurements!P111="N/R",Measurements!P111=""),"N/R",Measurements!P111),"-"))</f>
        <v/>
      </c>
      <c r="K110" s="542" t="str">
        <f>IF(Data!$B114="","",IF(Data!AB114="Polymer",IF(OR(Measurements!Q111="N/R",Measurements!Q111=""),"N/R",Measurements!Q111/(10*10)),"-"))</f>
        <v/>
      </c>
      <c r="L110" s="542" t="str">
        <f>IF(Data!$B114="","",IF(Data!AB114="Polymer",IF(OR(Measurements!X111="N/R",Measurements!X111=""),"N/R",Measurements!X111/(10*10)),"-"))</f>
        <v/>
      </c>
      <c r="M110" s="542" t="str">
        <f>IF(Data!$B114="","",IF(Data!AB114="Polymer",IF(OR(Measurements!AI111="N/R",Measurements!AI111=""),"N/R",Measurements!AI111),"-"))</f>
        <v/>
      </c>
      <c r="N110" s="544" t="str">
        <f>IF(Data!$B114="","",IF(Data!AB114="Polymer",IF(OR(Measurements!M111="N/R",Measurements!M111=""),"N/R",Measurements!M111),"-"))</f>
        <v/>
      </c>
      <c r="O110" s="544" t="str">
        <f>IF(Data!$B114="","",IF(Data!AB114="Polymer",IF(OR(J110="N/R",J110=""),"N/R",J110/N110),"-"))</f>
        <v/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42">
      <c r="A111" s="90"/>
      <c r="B111" s="98" t="str">
        <f>IF(Data!$B115="","",IF(Data!AB115="Polymer",Data!A115,"Not Polymer"))</f>
        <v/>
      </c>
      <c r="C111" s="532" t="str">
        <f>IF(B111="","",Data!B115)</f>
        <v/>
      </c>
      <c r="D111" s="399" t="str">
        <f>IF(Data!$B115="","",IF(Data!AB115="Polymer",Data!S115,"-"))</f>
        <v/>
      </c>
      <c r="E111" s="399" t="str">
        <f>IF(Data!$B115="","",IF(Data!AB115="Polymer",Data!I115,"-"))</f>
        <v/>
      </c>
      <c r="F111" s="90" t="str">
        <f>IF(Data!$B115="","",IF(Data!AB115="Polymer",Data!AE115,"-"))</f>
        <v/>
      </c>
      <c r="G111" s="401" t="str">
        <f>IF(Data!$B115="","",IF(Data!AB115="Polymer",IF(OR(Data!AP115="N/R",Data!AP115=""),"N/R",Data!AP115*1000),"-"))</f>
        <v/>
      </c>
      <c r="H111" s="408" t="str">
        <f>IF(Data!$B115="","",IF(Data!AB115="Polymer",IF(OR(D111="N/R",D111=""),"N/R",D111/1000),"-"))</f>
        <v/>
      </c>
      <c r="I111" s="541" t="str">
        <f>IF(Data!$B115="","",IF(Data!AB115="Polymer",IF(OR(Data!T115="N/R",Data!T115=""),"N/R",Data!T115/1000),"-"))</f>
        <v/>
      </c>
      <c r="J111" s="542" t="str">
        <f>IF(Data!$B115="","",IF(Data!AB115="Polymer",IF(OR(Measurements!P112="N/R",Measurements!P112=""),"N/R",Measurements!P112),"-"))</f>
        <v/>
      </c>
      <c r="K111" s="542" t="str">
        <f>IF(Data!$B115="","",IF(Data!AB115="Polymer",IF(OR(Measurements!Q112="N/R",Measurements!Q112=""),"N/R",Measurements!Q112/(10*10)),"-"))</f>
        <v/>
      </c>
      <c r="L111" s="542" t="str">
        <f>IF(Data!$B115="","",IF(Data!AB115="Polymer",IF(OR(Measurements!X112="N/R",Measurements!X112=""),"N/R",Measurements!X112/(10*10)),"-"))</f>
        <v/>
      </c>
      <c r="M111" s="542" t="str">
        <f>IF(Data!$B115="","",IF(Data!AB115="Polymer",IF(OR(Measurements!AI112="N/R",Measurements!AI112=""),"N/R",Measurements!AI112),"-"))</f>
        <v/>
      </c>
      <c r="N111" s="544" t="str">
        <f>IF(Data!$B115="","",IF(Data!AB115="Polymer",IF(OR(Measurements!M112="N/R",Measurements!M112=""),"N/R",Measurements!M112),"-"))</f>
        <v/>
      </c>
      <c r="O111" s="544" t="str">
        <f>IF(Data!$B115="","",IF(Data!AB115="Polymer",IF(OR(J111="N/R",J111=""),"N/R",J111/N111),"-"))</f>
        <v/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42">
      <c r="A112" s="90"/>
      <c r="B112" s="98" t="str">
        <f>IF(Data!$B116="","",IF(Data!AB116="Polymer",Data!A116,"Not Polymer"))</f>
        <v/>
      </c>
      <c r="C112" s="532" t="str">
        <f>IF(B112="","",Data!B116)</f>
        <v/>
      </c>
      <c r="D112" s="399" t="str">
        <f>IF(Data!$B116="","",IF(Data!AB116="Polymer",Data!S116,"-"))</f>
        <v/>
      </c>
      <c r="E112" s="399" t="str">
        <f>IF(Data!$B116="","",IF(Data!AB116="Polymer",Data!I116,"-"))</f>
        <v/>
      </c>
      <c r="F112" s="90" t="str">
        <f>IF(Data!$B116="","",IF(Data!AB116="Polymer",Data!AE116,"-"))</f>
        <v/>
      </c>
      <c r="G112" s="401" t="str">
        <f>IF(Data!$B116="","",IF(Data!AB116="Polymer",IF(OR(Data!AP116="N/R",Data!AP116=""),"N/R",Data!AP116*1000),"-"))</f>
        <v/>
      </c>
      <c r="H112" s="408" t="str">
        <f>IF(Data!$B116="","",IF(Data!AB116="Polymer",IF(OR(D112="N/R",D112=""),"N/R",D112/1000),"-"))</f>
        <v/>
      </c>
      <c r="I112" s="541" t="str">
        <f>IF(Data!$B116="","",IF(Data!AB116="Polymer",IF(OR(Data!T116="N/R",Data!T116=""),"N/R",Data!T116/1000),"-"))</f>
        <v/>
      </c>
      <c r="J112" s="542" t="str">
        <f>IF(Data!$B116="","",IF(Data!AB116="Polymer",IF(OR(Measurements!P113="N/R",Measurements!P113=""),"N/R",Measurements!P113),"-"))</f>
        <v/>
      </c>
      <c r="K112" s="542" t="str">
        <f>IF(Data!$B116="","",IF(Data!AB116="Polymer",IF(OR(Measurements!Q113="N/R",Measurements!Q113=""),"N/R",Measurements!Q113/(10*10)),"-"))</f>
        <v/>
      </c>
      <c r="L112" s="542" t="str">
        <f>IF(Data!$B116="","",IF(Data!AB116="Polymer",IF(OR(Measurements!X113="N/R",Measurements!X113=""),"N/R",Measurements!X113/(10*10)),"-"))</f>
        <v/>
      </c>
      <c r="M112" s="542" t="str">
        <f>IF(Data!$B116="","",IF(Data!AB116="Polymer",IF(OR(Measurements!AI113="N/R",Measurements!AI113=""),"N/R",Measurements!AI113),"-"))</f>
        <v/>
      </c>
      <c r="N112" s="544" t="str">
        <f>IF(Data!$B116="","",IF(Data!AB116="Polymer",IF(OR(Measurements!M113="N/R",Measurements!M113=""),"N/R",Measurements!M113),"-"))</f>
        <v/>
      </c>
      <c r="O112" s="544" t="str">
        <f>IF(Data!$B116="","",IF(Data!AB116="Polymer",IF(OR(J112="N/R",J112=""),"N/R",J112/N112),"-"))</f>
        <v/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O112" s="471"/>
      <c r="AP112" s="397"/>
    </row>
    <row r="113" spans="1:42">
      <c r="A113" s="90"/>
      <c r="B113" s="98" t="str">
        <f>IF(Data!$B117="","",IF(Data!AB117="Polymer",Data!A117,"Not Polymer"))</f>
        <v/>
      </c>
      <c r="C113" s="532" t="str">
        <f>IF(B113="","",Data!B117)</f>
        <v/>
      </c>
      <c r="D113" s="399" t="str">
        <f>IF(Data!$B117="","",IF(Data!AB117="Polymer",Data!S117,"-"))</f>
        <v/>
      </c>
      <c r="E113" s="399" t="str">
        <f>IF(Data!$B117="","",IF(Data!AB117="Polymer",Data!I117,"-"))</f>
        <v/>
      </c>
      <c r="F113" s="90" t="str">
        <f>IF(Data!$B117="","",IF(Data!AB117="Polymer",Data!AE117,"-"))</f>
        <v/>
      </c>
      <c r="G113" s="401" t="str">
        <f>IF(Data!$B117="","",IF(Data!AB117="Polymer",IF(OR(Data!AP117="N/R",Data!AP117=""),"N/R",Data!AP117*1000),"-"))</f>
        <v/>
      </c>
      <c r="H113" s="408" t="str">
        <f>IF(Data!$B117="","",IF(Data!AB117="Polymer",IF(OR(D113="N/R",D113=""),"N/R",D113/1000),"-"))</f>
        <v/>
      </c>
      <c r="I113" s="541" t="str">
        <f>IF(Data!$B117="","",IF(Data!AB117="Polymer",IF(OR(Data!T117="N/R",Data!T117=""),"N/R",Data!T117/1000),"-"))</f>
        <v/>
      </c>
      <c r="J113" s="542" t="str">
        <f>IF(Data!$B117="","",IF(Data!AB117="Polymer",IF(OR(Measurements!P114="N/R",Measurements!P114=""),"N/R",Measurements!P114),"-"))</f>
        <v/>
      </c>
      <c r="K113" s="542" t="str">
        <f>IF(Data!$B117="","",IF(Data!AB117="Polymer",IF(OR(Measurements!Q114="N/R",Measurements!Q114=""),"N/R",Measurements!Q114/(10*10)),"-"))</f>
        <v/>
      </c>
      <c r="L113" s="542" t="str">
        <f>IF(Data!$B117="","",IF(Data!AB117="Polymer",IF(OR(Measurements!X114="N/R",Measurements!X114=""),"N/R",Measurements!X114/(10*10)),"-"))</f>
        <v/>
      </c>
      <c r="M113" s="542" t="str">
        <f>IF(Data!$B117="","",IF(Data!AB117="Polymer",IF(OR(Measurements!AI114="N/R",Measurements!AI114=""),"N/R",Measurements!AI114),"-"))</f>
        <v/>
      </c>
      <c r="N113" s="544" t="str">
        <f>IF(Data!$B117="","",IF(Data!AB117="Polymer",IF(OR(Measurements!M114="N/R",Measurements!M114=""),"N/R",Measurements!M114),"-"))</f>
        <v/>
      </c>
      <c r="O113" s="544" t="str">
        <f>IF(Data!$B117="","",IF(Data!AB117="Polymer",IF(OR(J113="N/R",J113=""),"N/R",J113/N113),"-"))</f>
        <v/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O113" s="471"/>
      <c r="AP113" s="397"/>
    </row>
    <row r="114" spans="1:42">
      <c r="A114" s="90"/>
      <c r="B114" s="98" t="str">
        <f>IF(Data!$B118="","",IF(Data!AB118="Polymer",Data!A118,"Not Polymer"))</f>
        <v/>
      </c>
      <c r="C114" s="532" t="str">
        <f>IF(B114="","",Data!B118)</f>
        <v/>
      </c>
      <c r="D114" s="399" t="str">
        <f>IF(Data!$B118="","",IF(Data!AB118="Polymer",Data!S118,"-"))</f>
        <v/>
      </c>
      <c r="E114" s="399" t="str">
        <f>IF(Data!$B118="","",IF(Data!AB118="Polymer",Data!I118,"-"))</f>
        <v/>
      </c>
      <c r="F114" s="90" t="str">
        <f>IF(Data!$B118="","",IF(Data!AB118="Polymer",Data!AE118,"-"))</f>
        <v/>
      </c>
      <c r="G114" s="401" t="str">
        <f>IF(Data!$B118="","",IF(Data!AB118="Polymer",IF(OR(Data!AP118="N/R",Data!AP118=""),"N/R",Data!AP118*1000),"-"))</f>
        <v/>
      </c>
      <c r="H114" s="408" t="str">
        <f>IF(Data!$B118="","",IF(Data!AB118="Polymer",IF(OR(D114="N/R",D114=""),"N/R",D114/1000),"-"))</f>
        <v/>
      </c>
      <c r="I114" s="541" t="str">
        <f>IF(Data!$B118="","",IF(Data!AB118="Polymer",IF(OR(Data!T118="N/R",Data!T118=""),"N/R",Data!T118/1000),"-"))</f>
        <v/>
      </c>
      <c r="J114" s="542" t="str">
        <f>IF(Data!$B118="","",IF(Data!AB118="Polymer",IF(OR(Measurements!P115="N/R",Measurements!P115=""),"N/R",Measurements!P115),"-"))</f>
        <v/>
      </c>
      <c r="K114" s="542" t="str">
        <f>IF(Data!$B118="","",IF(Data!AB118="Polymer",IF(OR(Measurements!Q115="N/R",Measurements!Q115=""),"N/R",Measurements!Q115/(10*10)),"-"))</f>
        <v/>
      </c>
      <c r="L114" s="542" t="str">
        <f>IF(Data!$B118="","",IF(Data!AB118="Polymer",IF(OR(Measurements!X115="N/R",Measurements!X115=""),"N/R",Measurements!X115/(10*10)),"-"))</f>
        <v/>
      </c>
      <c r="M114" s="542" t="str">
        <f>IF(Data!$B118="","",IF(Data!AB118="Polymer",IF(OR(Measurements!AI115="N/R",Measurements!AI115=""),"N/R",Measurements!AI115),"-"))</f>
        <v/>
      </c>
      <c r="N114" s="544" t="str">
        <f>IF(Data!$B118="","",IF(Data!AB118="Polymer",IF(OR(Measurements!M115="N/R",Measurements!M115=""),"N/R",Measurements!M115),"-"))</f>
        <v/>
      </c>
      <c r="O114" s="544" t="str">
        <f>IF(Data!$B118="","",IF(Data!AB118="Polymer",IF(OR(J114="N/R",J114=""),"N/R",J114/N114),"-"))</f>
        <v/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42">
      <c r="A115" s="90"/>
      <c r="B115" s="98" t="str">
        <f>IF(Data!$B119="","",IF(Data!AB119="Polymer",Data!A119,"Not Polymer"))</f>
        <v/>
      </c>
      <c r="C115" s="532" t="str">
        <f>IF(B115="","",Data!B119)</f>
        <v/>
      </c>
      <c r="D115" s="399" t="str">
        <f>IF(Data!$B119="","",IF(Data!AB119="Polymer",Data!S119,"-"))</f>
        <v/>
      </c>
      <c r="E115" s="399" t="str">
        <f>IF(Data!$B119="","",IF(Data!AB119="Polymer",Data!I119,"-"))</f>
        <v/>
      </c>
      <c r="F115" s="90" t="str">
        <f>IF(Data!$B119="","",IF(Data!AB119="Polymer",Data!AE119,"-"))</f>
        <v/>
      </c>
      <c r="G115" s="401" t="str">
        <f>IF(Data!$B119="","",IF(Data!AB119="Polymer",IF(OR(Data!AP119="N/R",Data!AP119=""),"N/R",Data!AP119*1000),"-"))</f>
        <v/>
      </c>
      <c r="H115" s="408" t="str">
        <f>IF(Data!$B119="","",IF(Data!AB119="Polymer",IF(OR(D115="N/R",D115=""),"N/R",D115/1000),"-"))</f>
        <v/>
      </c>
      <c r="I115" s="541" t="str">
        <f>IF(Data!$B119="","",IF(Data!AB119="Polymer",IF(OR(Data!T119="N/R",Data!T119=""),"N/R",Data!T119/1000),"-"))</f>
        <v/>
      </c>
      <c r="J115" s="542" t="str">
        <f>IF(Data!$B119="","",IF(Data!AB119="Polymer",IF(OR(Measurements!P116="N/R",Measurements!P116=""),"N/R",Measurements!P116),"-"))</f>
        <v/>
      </c>
      <c r="K115" s="542" t="str">
        <f>IF(Data!$B119="","",IF(Data!AB119="Polymer",IF(OR(Measurements!Q116="N/R",Measurements!Q116=""),"N/R",Measurements!Q116/(10*10)),"-"))</f>
        <v/>
      </c>
      <c r="L115" s="542" t="str">
        <f>IF(Data!$B119="","",IF(Data!AB119="Polymer",IF(OR(Measurements!X116="N/R",Measurements!X116=""),"N/R",Measurements!X116/(10*10)),"-"))</f>
        <v/>
      </c>
      <c r="M115" s="542" t="str">
        <f>IF(Data!$B119="","",IF(Data!AB119="Polymer",IF(OR(Measurements!AI116="N/R",Measurements!AI116=""),"N/R",Measurements!AI116),"-"))</f>
        <v/>
      </c>
      <c r="N115" s="544" t="str">
        <f>IF(Data!$B119="","",IF(Data!AB119="Polymer",IF(OR(Measurements!M116="N/R",Measurements!M116=""),"N/R",Measurements!M116),"-"))</f>
        <v/>
      </c>
      <c r="O115" s="544" t="str">
        <f>IF(Data!$B119="","",IF(Data!AB119="Polymer",IF(OR(J115="N/R",J115=""),"N/R",J115/N115),"-"))</f>
        <v/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42">
      <c r="A116" s="90"/>
      <c r="B116" s="98" t="str">
        <f>IF(Data!$B120="","",IF(Data!AB120="Polymer",Data!A120,"Not Polymer"))</f>
        <v/>
      </c>
      <c r="C116" s="532" t="str">
        <f>IF(B116="","",Data!B120)</f>
        <v/>
      </c>
      <c r="D116" s="399" t="str">
        <f>IF(Data!$B120="","",IF(Data!AB120="Polymer",Data!S120,"-"))</f>
        <v/>
      </c>
      <c r="E116" s="399" t="str">
        <f>IF(Data!$B120="","",IF(Data!AB120="Polymer",Data!I120,"-"))</f>
        <v/>
      </c>
      <c r="F116" s="90" t="str">
        <f>IF(Data!$B120="","",IF(Data!AB120="Polymer",Data!AE120,"-"))</f>
        <v/>
      </c>
      <c r="G116" s="401" t="str">
        <f>IF(Data!$B120="","",IF(Data!AB120="Polymer",IF(OR(Data!AP120="N/R",Data!AP120=""),"N/R",Data!AP120*1000),"-"))</f>
        <v/>
      </c>
      <c r="H116" s="408" t="str">
        <f>IF(Data!$B120="","",IF(Data!AB120="Polymer",IF(OR(D116="N/R",D116=""),"N/R",D116/1000),"-"))</f>
        <v/>
      </c>
      <c r="I116" s="541" t="str">
        <f>IF(Data!$B120="","",IF(Data!AB120="Polymer",IF(OR(Data!T120="N/R",Data!T120=""),"N/R",Data!T120/1000),"-"))</f>
        <v/>
      </c>
      <c r="J116" s="542" t="str">
        <f>IF(Data!$B120="","",IF(Data!AB120="Polymer",IF(OR(Measurements!P117="N/R",Measurements!P117=""),"N/R",Measurements!P117),"-"))</f>
        <v/>
      </c>
      <c r="K116" s="542" t="str">
        <f>IF(Data!$B120="","",IF(Data!AB120="Polymer",IF(OR(Measurements!Q117="N/R",Measurements!Q117=""),"N/R",Measurements!Q117/(10*10)),"-"))</f>
        <v/>
      </c>
      <c r="L116" s="542" t="str">
        <f>IF(Data!$B120="","",IF(Data!AB120="Polymer",IF(OR(Measurements!X117="N/R",Measurements!X117=""),"N/R",Measurements!X117/(10*10)),"-"))</f>
        <v/>
      </c>
      <c r="M116" s="542" t="str">
        <f>IF(Data!$B120="","",IF(Data!AB120="Polymer",IF(OR(Measurements!AI117="N/R",Measurements!AI117=""),"N/R",Measurements!AI117),"-"))</f>
        <v/>
      </c>
      <c r="N116" s="544" t="str">
        <f>IF(Data!$B120="","",IF(Data!AB120="Polymer",IF(OR(Measurements!M117="N/R",Measurements!M117=""),"N/R",Measurements!M117),"-"))</f>
        <v/>
      </c>
      <c r="O116" s="544" t="str">
        <f>IF(Data!$B120="","",IF(Data!AB120="Polymer",IF(OR(J116="N/R",J116=""),"N/R",J116/N116),"-"))</f>
        <v/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42">
      <c r="A117" s="90"/>
      <c r="B117" s="98" t="str">
        <f>IF(Data!$B121="","",IF(Data!AB121="Polymer",Data!A121,"Not Polymer"))</f>
        <v/>
      </c>
      <c r="C117" s="532" t="str">
        <f>IF(B117="","",Data!B121)</f>
        <v/>
      </c>
      <c r="D117" s="399" t="str">
        <f>IF(Data!$B121="","",IF(Data!AB121="Polymer",Data!S121,"-"))</f>
        <v/>
      </c>
      <c r="E117" s="399" t="str">
        <f>IF(Data!$B121="","",IF(Data!AB121="Polymer",Data!I121,"-"))</f>
        <v/>
      </c>
      <c r="F117" s="90" t="str">
        <f>IF(Data!$B121="","",IF(Data!AB121="Polymer",Data!AE121,"-"))</f>
        <v/>
      </c>
      <c r="G117" s="401" t="str">
        <f>IF(Data!$B121="","",IF(Data!AB121="Polymer",IF(OR(Data!AP121="N/R",Data!AP121=""),"N/R",Data!AP121*1000),"-"))</f>
        <v/>
      </c>
      <c r="H117" s="408" t="str">
        <f>IF(Data!$B121="","",IF(Data!AB121="Polymer",IF(OR(D117="N/R",D117=""),"N/R",D117/1000),"-"))</f>
        <v/>
      </c>
      <c r="I117" s="541" t="str">
        <f>IF(Data!$B121="","",IF(Data!AB121="Polymer",IF(OR(Data!T121="N/R",Data!T121=""),"N/R",Data!T121/1000),"-"))</f>
        <v/>
      </c>
      <c r="J117" s="542" t="str">
        <f>IF(Data!$B121="","",IF(Data!AB121="Polymer",IF(OR(Measurements!P118="N/R",Measurements!P118=""),"N/R",Measurements!P118),"-"))</f>
        <v/>
      </c>
      <c r="K117" s="542" t="str">
        <f>IF(Data!$B121="","",IF(Data!AB121="Polymer",IF(OR(Measurements!Q118="N/R",Measurements!Q118=""),"N/R",Measurements!Q118/(10*10)),"-"))</f>
        <v/>
      </c>
      <c r="L117" s="542" t="str">
        <f>IF(Data!$B121="","",IF(Data!AB121="Polymer",IF(OR(Measurements!X118="N/R",Measurements!X118=""),"N/R",Measurements!X118/(10*10)),"-"))</f>
        <v/>
      </c>
      <c r="M117" s="542" t="str">
        <f>IF(Data!$B121="","",IF(Data!AB121="Polymer",IF(OR(Measurements!AI118="N/R",Measurements!AI118=""),"N/R",Measurements!AI118),"-"))</f>
        <v/>
      </c>
      <c r="N117" s="544" t="str">
        <f>IF(Data!$B121="","",IF(Data!AB121="Polymer",IF(OR(Measurements!M118="N/R",Measurements!M118=""),"N/R",Measurements!M118),"-"))</f>
        <v/>
      </c>
      <c r="O117" s="544" t="str">
        <f>IF(Data!$B121="","",IF(Data!AB121="Polymer",IF(OR(J117="N/R",J117=""),"N/R",J117/N117),"-"))</f>
        <v/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42">
      <c r="A118" s="90"/>
      <c r="B118" s="98" t="str">
        <f>IF(Data!$B122="","",IF(Data!AB122="Polymer",Data!A122,"Not Polymer"))</f>
        <v/>
      </c>
      <c r="C118" s="532" t="str">
        <f>IF(B118="","",Data!B122)</f>
        <v/>
      </c>
      <c r="D118" s="399" t="str">
        <f>IF(Data!$B122="","",IF(Data!AB122="Polymer",Data!S122,"-"))</f>
        <v/>
      </c>
      <c r="E118" s="399" t="str">
        <f>IF(Data!$B122="","",IF(Data!AB122="Polymer",Data!I122,"-"))</f>
        <v/>
      </c>
      <c r="F118" s="90" t="str">
        <f>IF(Data!$B122="","",IF(Data!AB122="Polymer",Data!AE122,"-"))</f>
        <v/>
      </c>
      <c r="G118" s="401" t="str">
        <f>IF(Data!$B122="","",IF(Data!AB122="Polymer",IF(OR(Data!AP122="N/R",Data!AP122=""),"N/R",Data!AP122*1000),"-"))</f>
        <v/>
      </c>
      <c r="H118" s="408" t="str">
        <f>IF(Data!$B122="","",IF(Data!AB122="Polymer",IF(OR(D118="N/R",D118=""),"N/R",D118/1000),"-"))</f>
        <v/>
      </c>
      <c r="I118" s="541" t="str">
        <f>IF(Data!$B122="","",IF(Data!AB122="Polymer",IF(OR(Data!T122="N/R",Data!T122=""),"N/R",Data!T122/1000),"-"))</f>
        <v/>
      </c>
      <c r="J118" s="542" t="str">
        <f>IF(Data!$B122="","",IF(Data!AB122="Polymer",IF(OR(Measurements!P119="N/R",Measurements!P119=""),"N/R",Measurements!P119),"-"))</f>
        <v/>
      </c>
      <c r="K118" s="542" t="str">
        <f>IF(Data!$B122="","",IF(Data!AB122="Polymer",IF(OR(Measurements!Q119="N/R",Measurements!Q119=""),"N/R",Measurements!Q119/(10*10)),"-"))</f>
        <v/>
      </c>
      <c r="L118" s="542" t="str">
        <f>IF(Data!$B122="","",IF(Data!AB122="Polymer",IF(OR(Measurements!X119="N/R",Measurements!X119=""),"N/R",Measurements!X119/(10*10)),"-"))</f>
        <v/>
      </c>
      <c r="M118" s="542" t="str">
        <f>IF(Data!$B122="","",IF(Data!AB122="Polymer",IF(OR(Measurements!AI119="N/R",Measurements!AI119=""),"N/R",Measurements!AI119),"-"))</f>
        <v/>
      </c>
      <c r="N118" s="544" t="str">
        <f>IF(Data!$B122="","",IF(Data!AB122="Polymer",IF(OR(Measurements!M119="N/R",Measurements!M119=""),"N/R",Measurements!M119),"-"))</f>
        <v/>
      </c>
      <c r="O118" s="544" t="str">
        <f>IF(Data!$B122="","",IF(Data!AB122="Polymer",IF(OR(J118="N/R",J118=""),"N/R",J118/N118),"-"))</f>
        <v/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42">
      <c r="A119" s="90"/>
      <c r="B119" s="98" t="str">
        <f>IF(Data!$B123="","",IF(Data!AB123="Polymer",Data!A123,"Not Polymer"))</f>
        <v/>
      </c>
      <c r="C119" s="532" t="str">
        <f>IF(B119="","",Data!B123)</f>
        <v/>
      </c>
      <c r="D119" s="399" t="str">
        <f>IF(Data!$B123="","",IF(Data!AB123="Polymer",Data!S123,"-"))</f>
        <v/>
      </c>
      <c r="E119" s="399" t="str">
        <f>IF(Data!$B123="","",IF(Data!AB123="Polymer",Data!I123,"-"))</f>
        <v/>
      </c>
      <c r="F119" s="90" t="str">
        <f>IF(Data!$B123="","",IF(Data!AB123="Polymer",Data!AE123,"-"))</f>
        <v/>
      </c>
      <c r="G119" s="401" t="str">
        <f>IF(Data!$B123="","",IF(Data!AB123="Polymer",IF(OR(Data!AP123="N/R",Data!AP123=""),"N/R",Data!AP123*1000),"-"))</f>
        <v/>
      </c>
      <c r="H119" s="408" t="str">
        <f>IF(Data!$B123="","",IF(Data!AB123="Polymer",IF(OR(D119="N/R",D119=""),"N/R",D119/1000),"-"))</f>
        <v/>
      </c>
      <c r="I119" s="541" t="str">
        <f>IF(Data!$B123="","",IF(Data!AB123="Polymer",IF(OR(Data!T123="N/R",Data!T123=""),"N/R",Data!T123/1000),"-"))</f>
        <v/>
      </c>
      <c r="J119" s="542" t="str">
        <f>IF(Data!$B123="","",IF(Data!AB123="Polymer",IF(OR(Measurements!P120="N/R",Measurements!P120=""),"N/R",Measurements!P120),"-"))</f>
        <v/>
      </c>
      <c r="K119" s="542" t="str">
        <f>IF(Data!$B123="","",IF(Data!AB123="Polymer",IF(OR(Measurements!Q120="N/R",Measurements!Q120=""),"N/R",Measurements!Q120/(10*10)),"-"))</f>
        <v/>
      </c>
      <c r="L119" s="542" t="str">
        <f>IF(Data!$B123="","",IF(Data!AB123="Polymer",IF(OR(Measurements!X120="N/R",Measurements!X120=""),"N/R",Measurements!X120/(10*10)),"-"))</f>
        <v/>
      </c>
      <c r="M119" s="542" t="str">
        <f>IF(Data!$B123="","",IF(Data!AB123="Polymer",IF(OR(Measurements!AI120="N/R",Measurements!AI120=""),"N/R",Measurements!AI120),"-"))</f>
        <v/>
      </c>
      <c r="N119" s="544" t="str">
        <f>IF(Data!$B123="","",IF(Data!AB123="Polymer",IF(OR(Measurements!M120="N/R",Measurements!M120=""),"N/R",Measurements!M120),"-"))</f>
        <v/>
      </c>
      <c r="O119" s="544" t="str">
        <f>IF(Data!$B123="","",IF(Data!AB123="Polymer",IF(OR(J119="N/R",J119=""),"N/R",J119/N119),"-"))</f>
        <v/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42">
      <c r="A120" s="90"/>
      <c r="B120" s="98" t="str">
        <f>IF(Data!$B124="","",IF(Data!AB124="Polymer",Data!A124,"Not Polymer"))</f>
        <v/>
      </c>
      <c r="C120" s="532" t="str">
        <f>IF(B120="","",Data!B124)</f>
        <v/>
      </c>
      <c r="D120" s="399" t="str">
        <f>IF(Data!$B124="","",IF(Data!AB124="Polymer",Data!S124,"-"))</f>
        <v/>
      </c>
      <c r="E120" s="399" t="str">
        <f>IF(Data!$B124="","",IF(Data!AB124="Polymer",Data!I124,"-"))</f>
        <v/>
      </c>
      <c r="F120" s="90" t="str">
        <f>IF(Data!$B124="","",IF(Data!AB124="Polymer",Data!AE124,"-"))</f>
        <v/>
      </c>
      <c r="G120" s="401" t="str">
        <f>IF(Data!$B124="","",IF(Data!AB124="Polymer",IF(OR(Data!AP124="N/R",Data!AP124=""),"N/R",Data!AP124*1000),"-"))</f>
        <v/>
      </c>
      <c r="H120" s="408" t="str">
        <f>IF(Data!$B124="","",IF(Data!AB124="Polymer",IF(OR(D120="N/R",D120=""),"N/R",D120/1000),"-"))</f>
        <v/>
      </c>
      <c r="I120" s="541" t="str">
        <f>IF(Data!$B124="","",IF(Data!AB124="Polymer",IF(OR(Data!T124="N/R",Data!T124=""),"N/R",Data!T124/1000),"-"))</f>
        <v/>
      </c>
      <c r="J120" s="542" t="str">
        <f>IF(Data!$B124="","",IF(Data!AB124="Polymer",IF(OR(Measurements!P121="N/R",Measurements!P121=""),"N/R",Measurements!P121),"-"))</f>
        <v/>
      </c>
      <c r="K120" s="542" t="str">
        <f>IF(Data!$B124="","",IF(Data!AB124="Polymer",IF(OR(Measurements!Q121="N/R",Measurements!Q121=""),"N/R",Measurements!Q121/(10*10)),"-"))</f>
        <v/>
      </c>
      <c r="L120" s="542" t="str">
        <f>IF(Data!$B124="","",IF(Data!AB124="Polymer",IF(OR(Measurements!X121="N/R",Measurements!X121=""),"N/R",Measurements!X121/(10*10)),"-"))</f>
        <v/>
      </c>
      <c r="M120" s="542" t="str">
        <f>IF(Data!$B124="","",IF(Data!AB124="Polymer",IF(OR(Measurements!AI121="N/R",Measurements!AI121=""),"N/R",Measurements!AI121),"-"))</f>
        <v/>
      </c>
      <c r="N120" s="544" t="str">
        <f>IF(Data!$B124="","",IF(Data!AB124="Polymer",IF(OR(Measurements!M121="N/R",Measurements!M121=""),"N/R",Measurements!M121),"-"))</f>
        <v/>
      </c>
      <c r="O120" s="544" t="str">
        <f>IF(Data!$B124="","",IF(Data!AB124="Polymer",IF(OR(J120="N/R",J120=""),"N/R",J120/N120),"-"))</f>
        <v/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42">
      <c r="A121" s="90"/>
      <c r="B121" s="98" t="str">
        <f>IF(Data!$B125="","",IF(Data!AB125="Polymer",Data!A125,"Not Polymer"))</f>
        <v/>
      </c>
      <c r="C121" s="532" t="str">
        <f>IF(B121="","",Data!B125)</f>
        <v/>
      </c>
      <c r="D121" s="399" t="str">
        <f>IF(Data!$B125="","",IF(Data!AB125="Polymer",Data!S125,"-"))</f>
        <v/>
      </c>
      <c r="E121" s="399" t="str">
        <f>IF(Data!$B125="","",IF(Data!AB125="Polymer",Data!I125,"-"))</f>
        <v/>
      </c>
      <c r="F121" s="90" t="str">
        <f>IF(Data!$B125="","",IF(Data!AB125="Polymer",Data!AE125,"-"))</f>
        <v/>
      </c>
      <c r="G121" s="401" t="str">
        <f>IF(Data!$B125="","",IF(Data!AB125="Polymer",IF(OR(Data!AP125="N/R",Data!AP125=""),"N/R",Data!AP125*1000),"-"))</f>
        <v/>
      </c>
      <c r="H121" s="408" t="str">
        <f>IF(Data!$B125="","",IF(Data!AB125="Polymer",IF(OR(D121="N/R",D121=""),"N/R",D121/1000),"-"))</f>
        <v/>
      </c>
      <c r="I121" s="541" t="str">
        <f>IF(Data!$B125="","",IF(Data!AB125="Polymer",IF(OR(Data!T125="N/R",Data!T125=""),"N/R",Data!T125/1000),"-"))</f>
        <v/>
      </c>
      <c r="J121" s="542" t="str">
        <f>IF(Data!$B125="","",IF(Data!AB125="Polymer",IF(OR(Measurements!P122="N/R",Measurements!P122=""),"N/R",Measurements!P122),"-"))</f>
        <v/>
      </c>
      <c r="K121" s="542" t="str">
        <f>IF(Data!$B125="","",IF(Data!AB125="Polymer",IF(OR(Measurements!Q122="N/R",Measurements!Q122=""),"N/R",Measurements!Q122/(10*10)),"-"))</f>
        <v/>
      </c>
      <c r="L121" s="542" t="str">
        <f>IF(Data!$B125="","",IF(Data!AB125="Polymer",IF(OR(Measurements!X122="N/R",Measurements!X122=""),"N/R",Measurements!X122/(10*10)),"-"))</f>
        <v/>
      </c>
      <c r="M121" s="542" t="str">
        <f>IF(Data!$B125="","",IF(Data!AB125="Polymer",IF(OR(Measurements!AI122="N/R",Measurements!AI122=""),"N/R",Measurements!AI122),"-"))</f>
        <v/>
      </c>
      <c r="N121" s="544" t="str">
        <f>IF(Data!$B125="","",IF(Data!AB125="Polymer",IF(OR(Measurements!M122="N/R",Measurements!M122=""),"N/R",Measurements!M122),"-"))</f>
        <v/>
      </c>
      <c r="O121" s="544" t="str">
        <f>IF(Data!$B125="","",IF(Data!AB125="Polymer",IF(OR(J121="N/R",J121=""),"N/R",J121/N121),"-"))</f>
        <v/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42">
      <c r="A122" s="90"/>
      <c r="B122" s="98" t="str">
        <f>IF(Data!$B126="","",IF(Data!AB126="Polymer",Data!A126,"Not Polymer"))</f>
        <v/>
      </c>
      <c r="C122" s="532" t="str">
        <f>IF(B122="","",Data!B126)</f>
        <v/>
      </c>
      <c r="D122" s="399" t="str">
        <f>IF(Data!$B126="","",IF(Data!AB126="Polymer",Data!S126,"-"))</f>
        <v/>
      </c>
      <c r="E122" s="399" t="str">
        <f>IF(Data!$B126="","",IF(Data!AB126="Polymer",Data!I126,"-"))</f>
        <v/>
      </c>
      <c r="F122" s="90" t="str">
        <f>IF(Data!$B126="","",IF(Data!AB126="Polymer",Data!AE126,"-"))</f>
        <v/>
      </c>
      <c r="G122" s="401" t="str">
        <f>IF(Data!$B126="","",IF(Data!AB126="Polymer",IF(OR(Data!AP126="N/R",Data!AP126=""),"N/R",Data!AP126*1000),"-"))</f>
        <v/>
      </c>
      <c r="H122" s="408" t="str">
        <f>IF(Data!$B126="","",IF(Data!AB126="Polymer",IF(OR(D122="N/R",D122=""),"N/R",D122/1000),"-"))</f>
        <v/>
      </c>
      <c r="I122" s="541" t="str">
        <f>IF(Data!$B126="","",IF(Data!AB126="Polymer",IF(OR(Data!T126="N/R",Data!T126=""),"N/R",Data!T126/1000),"-"))</f>
        <v/>
      </c>
      <c r="J122" s="542" t="str">
        <f>IF(Data!$B126="","",IF(Data!AB126="Polymer",IF(OR(Measurements!P123="N/R",Measurements!P123=""),"N/R",Measurements!P123),"-"))</f>
        <v/>
      </c>
      <c r="K122" s="542" t="str">
        <f>IF(Data!$B126="","",IF(Data!AB126="Polymer",IF(OR(Measurements!Q123="N/R",Measurements!Q123=""),"N/R",Measurements!Q123/(10*10)),"-"))</f>
        <v/>
      </c>
      <c r="L122" s="542" t="str">
        <f>IF(Data!$B126="","",IF(Data!AB126="Polymer",IF(OR(Measurements!X123="N/R",Measurements!X123=""),"N/R",Measurements!X123/(10*10)),"-"))</f>
        <v/>
      </c>
      <c r="M122" s="542" t="str">
        <f>IF(Data!$B126="","",IF(Data!AB126="Polymer",IF(OR(Measurements!AI123="N/R",Measurements!AI123=""),"N/R",Measurements!AI123),"-"))</f>
        <v/>
      </c>
      <c r="N122" s="544" t="str">
        <f>IF(Data!$B126="","",IF(Data!AB126="Polymer",IF(OR(Measurements!M123="N/R",Measurements!M123=""),"N/R",Measurements!M123),"-"))</f>
        <v/>
      </c>
      <c r="O122" s="544" t="str">
        <f>IF(Data!$B126="","",IF(Data!AB126="Polymer",IF(OR(J122="N/R",J122=""),"N/R",J122/N122),"-"))</f>
        <v/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42">
      <c r="A123" s="90"/>
      <c r="B123" s="98" t="str">
        <f>IF(Data!$B127="","",IF(Data!AB127="Polymer",Data!A127,"Not Polymer"))</f>
        <v/>
      </c>
      <c r="C123" s="532" t="str">
        <f>IF(B123="","",Data!B127)</f>
        <v/>
      </c>
      <c r="D123" s="399" t="str">
        <f>IF(Data!$B127="","",IF(Data!AB127="Polymer",Data!S127,"-"))</f>
        <v/>
      </c>
      <c r="E123" s="399" t="str">
        <f>IF(Data!$B127="","",IF(Data!AB127="Polymer",Data!I127,"-"))</f>
        <v/>
      </c>
      <c r="F123" s="90" t="str">
        <f>IF(Data!$B127="","",IF(Data!AB127="Polymer",Data!AE127,"-"))</f>
        <v/>
      </c>
      <c r="G123" s="401" t="str">
        <f>IF(Data!$B127="","",IF(Data!AB127="Polymer",IF(OR(Data!AP127="N/R",Data!AP127=""),"N/R",Data!AP127*1000),"-"))</f>
        <v/>
      </c>
      <c r="H123" s="408" t="str">
        <f>IF(Data!$B127="","",IF(Data!AB127="Polymer",IF(OR(D123="N/R",D123=""),"N/R",D123/1000),"-"))</f>
        <v/>
      </c>
      <c r="I123" s="541" t="str">
        <f>IF(Data!$B127="","",IF(Data!AB127="Polymer",IF(OR(Data!T127="N/R",Data!T127=""),"N/R",Data!T127/1000),"-"))</f>
        <v/>
      </c>
      <c r="J123" s="542" t="str">
        <f>IF(Data!$B127="","",IF(Data!AB127="Polymer",IF(OR(Measurements!P124="N/R",Measurements!P124=""),"N/R",Measurements!P124),"-"))</f>
        <v/>
      </c>
      <c r="K123" s="542" t="str">
        <f>IF(Data!$B127="","",IF(Data!AB127="Polymer",IF(OR(Measurements!Q124="N/R",Measurements!Q124=""),"N/R",Measurements!Q124/(10*10)),"-"))</f>
        <v/>
      </c>
      <c r="L123" s="542" t="str">
        <f>IF(Data!$B127="","",IF(Data!AB127="Polymer",IF(OR(Measurements!X124="N/R",Measurements!X124=""),"N/R",Measurements!X124/(10*10)),"-"))</f>
        <v/>
      </c>
      <c r="M123" s="542" t="str">
        <f>IF(Data!$B127="","",IF(Data!AB127="Polymer",IF(OR(Measurements!AI124="N/R",Measurements!AI124=""),"N/R",Measurements!AI124),"-"))</f>
        <v/>
      </c>
      <c r="N123" s="544" t="str">
        <f>IF(Data!$B127="","",IF(Data!AB127="Polymer",IF(OR(Measurements!M124="N/R",Measurements!M124=""),"N/R",Measurements!M124),"-"))</f>
        <v/>
      </c>
      <c r="O123" s="544" t="str">
        <f>IF(Data!$B127="","",IF(Data!AB127="Polymer",IF(OR(J123="N/R",J123=""),"N/R",J123/N123),"-"))</f>
        <v/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42">
      <c r="A124" s="90"/>
      <c r="B124" s="98" t="str">
        <f>IF(Data!$B128="","",IF(Data!AB128="Polymer",Data!A128,"Not Polymer"))</f>
        <v/>
      </c>
      <c r="C124" s="532" t="str">
        <f>IF(B124="","",Data!B128)</f>
        <v/>
      </c>
      <c r="D124" s="399" t="str">
        <f>IF(Data!$B128="","",IF(Data!AB128="Polymer",Data!S128,"-"))</f>
        <v/>
      </c>
      <c r="E124" s="399" t="str">
        <f>IF(Data!$B128="","",IF(Data!AB128="Polymer",Data!I128,"-"))</f>
        <v/>
      </c>
      <c r="F124" s="90" t="str">
        <f>IF(Data!$B128="","",IF(Data!AB128="Polymer",Data!AE128,"-"))</f>
        <v/>
      </c>
      <c r="G124" s="401" t="str">
        <f>IF(Data!$B128="","",IF(Data!AB128="Polymer",IF(OR(Data!AP128="N/R",Data!AP128=""),"N/R",Data!AP128*1000),"-"))</f>
        <v/>
      </c>
      <c r="H124" s="408" t="str">
        <f>IF(Data!$B128="","",IF(Data!AB128="Polymer",IF(OR(D124="N/R",D124=""),"N/R",D124/1000),"-"))</f>
        <v/>
      </c>
      <c r="I124" s="541" t="str">
        <f>IF(Data!$B128="","",IF(Data!AB128="Polymer",IF(OR(Data!T128="N/R",Data!T128=""),"N/R",Data!T128/1000),"-"))</f>
        <v/>
      </c>
      <c r="J124" s="542" t="str">
        <f>IF(Data!$B128="","",IF(Data!AB128="Polymer",IF(OR(Measurements!P125="N/R",Measurements!P125=""),"N/R",Measurements!P125),"-"))</f>
        <v/>
      </c>
      <c r="K124" s="542" t="str">
        <f>IF(Data!$B128="","",IF(Data!AB128="Polymer",IF(OR(Measurements!Q125="N/R",Measurements!Q125=""),"N/R",Measurements!Q125/(10*10)),"-"))</f>
        <v/>
      </c>
      <c r="L124" s="542" t="str">
        <f>IF(Data!$B128="","",IF(Data!AB128="Polymer",IF(OR(Measurements!X125="N/R",Measurements!X125=""),"N/R",Measurements!X125/(10*10)),"-"))</f>
        <v/>
      </c>
      <c r="M124" s="542" t="str">
        <f>IF(Data!$B128="","",IF(Data!AB128="Polymer",IF(OR(Measurements!AI125="N/R",Measurements!AI125=""),"N/R",Measurements!AI125),"-"))</f>
        <v/>
      </c>
      <c r="N124" s="544" t="str">
        <f>IF(Data!$B128="","",IF(Data!AB128="Polymer",IF(OR(Measurements!M125="N/R",Measurements!M125=""),"N/R",Measurements!M125),"-"))</f>
        <v/>
      </c>
      <c r="O124" s="544" t="str">
        <f>IF(Data!$B128="","",IF(Data!AB128="Polymer",IF(OR(J124="N/R",J124=""),"N/R",J124/N124),"-"))</f>
        <v/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42">
      <c r="A125" s="90"/>
      <c r="B125" s="98" t="str">
        <f>IF(Data!$B129="","",IF(Data!AB129="Polymer",Data!A129,"Not Polymer"))</f>
        <v/>
      </c>
      <c r="C125" s="532" t="str">
        <f>IF(B125="","",Data!B129)</f>
        <v/>
      </c>
      <c r="D125" s="399" t="str">
        <f>IF(Data!$B129="","",IF(Data!AB129="Polymer",Data!S129,"-"))</f>
        <v/>
      </c>
      <c r="E125" s="399" t="str">
        <f>IF(Data!$B129="","",IF(Data!AB129="Polymer",Data!I129,"-"))</f>
        <v/>
      </c>
      <c r="F125" s="90" t="str">
        <f>IF(Data!$B129="","",IF(Data!AB129="Polymer",Data!AE129,"-"))</f>
        <v/>
      </c>
      <c r="G125" s="401" t="str">
        <f>IF(Data!$B129="","",IF(Data!AB129="Polymer",IF(OR(Data!AP129="N/R",Data!AP129=""),"N/R",Data!AP129*1000),"-"))</f>
        <v/>
      </c>
      <c r="H125" s="408" t="str">
        <f>IF(Data!$B129="","",IF(Data!AB129="Polymer",IF(OR(D125="N/R",D125=""),"N/R",D125/1000),"-"))</f>
        <v/>
      </c>
      <c r="I125" s="541" t="str">
        <f>IF(Data!$B129="","",IF(Data!AB129="Polymer",IF(OR(Data!T129="N/R",Data!T129=""),"N/R",Data!T129/1000),"-"))</f>
        <v/>
      </c>
      <c r="J125" s="542" t="str">
        <f>IF(Data!$B129="","",IF(Data!AB129="Polymer",IF(OR(Measurements!P126="N/R",Measurements!P126=""),"N/R",Measurements!P126),"-"))</f>
        <v/>
      </c>
      <c r="K125" s="542" t="str">
        <f>IF(Data!$B129="","",IF(Data!AB129="Polymer",IF(OR(Measurements!Q126="N/R",Measurements!Q126=""),"N/R",Measurements!Q126/(10*10)),"-"))</f>
        <v/>
      </c>
      <c r="L125" s="542" t="str">
        <f>IF(Data!$B129="","",IF(Data!AB129="Polymer",IF(OR(Measurements!X126="N/R",Measurements!X126=""),"N/R",Measurements!X126/(10*10)),"-"))</f>
        <v/>
      </c>
      <c r="M125" s="542" t="str">
        <f>IF(Data!$B129="","",IF(Data!AB129="Polymer",IF(OR(Measurements!AI126="N/R",Measurements!AI126=""),"N/R",Measurements!AI126),"-"))</f>
        <v/>
      </c>
      <c r="N125" s="544" t="str">
        <f>IF(Data!$B129="","",IF(Data!AB129="Polymer",IF(OR(Measurements!M126="N/R",Measurements!M126=""),"N/R",Measurements!M126),"-"))</f>
        <v/>
      </c>
      <c r="O125" s="544" t="str">
        <f>IF(Data!$B129="","",IF(Data!AB129="Polymer",IF(OR(J125="N/R",J125=""),"N/R",J125/N125),"-"))</f>
        <v/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42">
      <c r="A126" s="90"/>
      <c r="B126" s="98" t="str">
        <f>IF(Data!$B130="","",IF(Data!AB130="Polymer",Data!A130,"Not Polymer"))</f>
        <v/>
      </c>
      <c r="C126" s="532" t="str">
        <f>IF(B126="","",Data!B130)</f>
        <v/>
      </c>
      <c r="D126" s="399" t="str">
        <f>IF(Data!$B130="","",IF(Data!AB130="Polymer",Data!S130,"-"))</f>
        <v/>
      </c>
      <c r="E126" s="399" t="str">
        <f>IF(Data!$B130="","",IF(Data!AB130="Polymer",Data!I130,"-"))</f>
        <v/>
      </c>
      <c r="F126" s="90" t="str">
        <f>IF(Data!$B130="","",IF(Data!AB130="Polymer",Data!AE130,"-"))</f>
        <v/>
      </c>
      <c r="G126" s="401" t="str">
        <f>IF(Data!$B130="","",IF(Data!AB130="Polymer",IF(OR(Data!AP130="N/R",Data!AP130=""),"N/R",Data!AP130*1000),"-"))</f>
        <v/>
      </c>
      <c r="H126" s="408" t="str">
        <f>IF(Data!$B130="","",IF(Data!AB130="Polymer",IF(OR(D126="N/R",D126=""),"N/R",D126/1000),"-"))</f>
        <v/>
      </c>
      <c r="I126" s="541" t="str">
        <f>IF(Data!$B130="","",IF(Data!AB130="Polymer",IF(OR(Data!T130="N/R",Data!T130=""),"N/R",Data!T130/1000),"-"))</f>
        <v/>
      </c>
      <c r="J126" s="542" t="str">
        <f>IF(Data!$B130="","",IF(Data!AB130="Polymer",IF(OR(Measurements!P127="N/R",Measurements!P127=""),"N/R",Measurements!P127),"-"))</f>
        <v/>
      </c>
      <c r="K126" s="542" t="str">
        <f>IF(Data!$B130="","",IF(Data!AB130="Polymer",IF(OR(Measurements!Q127="N/R",Measurements!Q127=""),"N/R",Measurements!Q127/(10*10)),"-"))</f>
        <v/>
      </c>
      <c r="L126" s="542" t="str">
        <f>IF(Data!$B130="","",IF(Data!AB130="Polymer",IF(OR(Measurements!X127="N/R",Measurements!X127=""),"N/R",Measurements!X127/(10*10)),"-"))</f>
        <v/>
      </c>
      <c r="M126" s="542" t="str">
        <f>IF(Data!$B130="","",IF(Data!AB130="Polymer",IF(OR(Measurements!AI127="N/R",Measurements!AI127=""),"N/R",Measurements!AI127),"-"))</f>
        <v/>
      </c>
      <c r="N126" s="544" t="str">
        <f>IF(Data!$B130="","",IF(Data!AB130="Polymer",IF(OR(Measurements!M127="N/R",Measurements!M127=""),"N/R",Measurements!M127),"-"))</f>
        <v/>
      </c>
      <c r="O126" s="544" t="str">
        <f>IF(Data!$B130="","",IF(Data!AB130="Polymer",IF(OR(J126="N/R",J126=""),"N/R",J126/N126),"-"))</f>
        <v/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42">
      <c r="A127" s="90"/>
      <c r="B127" s="98" t="str">
        <f>IF(Data!$B131="","",IF(Data!AB131="Polymer",Data!A131,"Not Polymer"))</f>
        <v/>
      </c>
      <c r="C127" s="532" t="str">
        <f>IF(B127="","",Data!B131)</f>
        <v/>
      </c>
      <c r="D127" s="399" t="str">
        <f>IF(Data!$B131="","",IF(Data!AB131="Polymer",Data!S131,"-"))</f>
        <v/>
      </c>
      <c r="E127" s="399" t="str">
        <f>IF(Data!$B131="","",IF(Data!AB131="Polymer",Data!I131,"-"))</f>
        <v/>
      </c>
      <c r="F127" s="90" t="str">
        <f>IF(Data!$B131="","",IF(Data!AB131="Polymer",Data!AE131,"-"))</f>
        <v/>
      </c>
      <c r="G127" s="401" t="str">
        <f>IF(Data!$B131="","",IF(Data!AB131="Polymer",IF(OR(Data!AP131="N/R",Data!AP131=""),"N/R",Data!AP131*1000),"-"))</f>
        <v/>
      </c>
      <c r="H127" s="408" t="str">
        <f>IF(Data!$B131="","",IF(Data!AB131="Polymer",IF(OR(D127="N/R",D127=""),"N/R",D127/1000),"-"))</f>
        <v/>
      </c>
      <c r="I127" s="541" t="str">
        <f>IF(Data!$B131="","",IF(Data!AB131="Polymer",IF(OR(Data!T131="N/R",Data!T131=""),"N/R",Data!T131/1000),"-"))</f>
        <v/>
      </c>
      <c r="J127" s="542" t="str">
        <f>IF(Data!$B131="","",IF(Data!AB131="Polymer",IF(OR(Measurements!P128="N/R",Measurements!P128=""),"N/R",Measurements!P128),"-"))</f>
        <v/>
      </c>
      <c r="K127" s="542" t="str">
        <f>IF(Data!$B131="","",IF(Data!AB131="Polymer",IF(OR(Measurements!Q128="N/R",Measurements!Q128=""),"N/R",Measurements!Q128/(10*10)),"-"))</f>
        <v/>
      </c>
      <c r="L127" s="542" t="str">
        <f>IF(Data!$B131="","",IF(Data!AB131="Polymer",IF(OR(Measurements!X128="N/R",Measurements!X128=""),"N/R",Measurements!X128/(10*10)),"-"))</f>
        <v/>
      </c>
      <c r="M127" s="542" t="str">
        <f>IF(Data!$B131="","",IF(Data!AB131="Polymer",IF(OR(Measurements!AI128="N/R",Measurements!AI128=""),"N/R",Measurements!AI128),"-"))</f>
        <v/>
      </c>
      <c r="N127" s="544" t="str">
        <f>IF(Data!$B131="","",IF(Data!AB131="Polymer",IF(OR(Measurements!M128="N/R",Measurements!M128=""),"N/R",Measurements!M128),"-"))</f>
        <v/>
      </c>
      <c r="O127" s="544" t="str">
        <f>IF(Data!$B131="","",IF(Data!AB131="Polymer",IF(OR(J127="N/R",J127=""),"N/R",J127/N127),"-"))</f>
        <v/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42">
      <c r="A128" s="90"/>
      <c r="B128" s="98" t="str">
        <f>IF(Data!$B132="","",IF(Data!AB132="Polymer",Data!A132,"Not Polymer"))</f>
        <v/>
      </c>
      <c r="C128" s="532" t="str">
        <f>IF(B128="","",Data!B132)</f>
        <v/>
      </c>
      <c r="D128" s="399" t="str">
        <f>IF(Data!$B132="","",IF(Data!AB132="Polymer",Data!S132,"-"))</f>
        <v/>
      </c>
      <c r="E128" s="399" t="str">
        <f>IF(Data!$B132="","",IF(Data!AB132="Polymer",Data!I132,"-"))</f>
        <v/>
      </c>
      <c r="F128" s="90" t="str">
        <f>IF(Data!$B132="","",IF(Data!AB132="Polymer",Data!AE132,"-"))</f>
        <v/>
      </c>
      <c r="G128" s="401" t="str">
        <f>IF(Data!$B132="","",IF(Data!AB132="Polymer",IF(OR(Data!AP132="N/R",Data!AP132=""),"N/R",Data!AP132*1000),"-"))</f>
        <v/>
      </c>
      <c r="H128" s="408" t="str">
        <f>IF(Data!$B132="","",IF(Data!AB132="Polymer",IF(OR(D128="N/R",D128=""),"N/R",D128/1000),"-"))</f>
        <v/>
      </c>
      <c r="I128" s="541" t="str">
        <f>IF(Data!$B132="","",IF(Data!AB132="Polymer",IF(OR(Data!T132="N/R",Data!T132=""),"N/R",Data!T132/1000),"-"))</f>
        <v/>
      </c>
      <c r="J128" s="542" t="str">
        <f>IF(Data!$B132="","",IF(Data!AB132="Polymer",IF(OR(Measurements!P129="N/R",Measurements!P129=""),"N/R",Measurements!P129),"-"))</f>
        <v/>
      </c>
      <c r="K128" s="542" t="str">
        <f>IF(Data!$B132="","",IF(Data!AB132="Polymer",IF(OR(Measurements!Q129="N/R",Measurements!Q129=""),"N/R",Measurements!Q129/(10*10)),"-"))</f>
        <v/>
      </c>
      <c r="L128" s="542" t="str">
        <f>IF(Data!$B132="","",IF(Data!AB132="Polymer",IF(OR(Measurements!X129="N/R",Measurements!X129=""),"N/R",Measurements!X129/(10*10)),"-"))</f>
        <v/>
      </c>
      <c r="M128" s="542" t="str">
        <f>IF(Data!$B132="","",IF(Data!AB132="Polymer",IF(OR(Measurements!AI129="N/R",Measurements!AI129=""),"N/R",Measurements!AI129),"-"))</f>
        <v/>
      </c>
      <c r="N128" s="544" t="str">
        <f>IF(Data!$B132="","",IF(Data!AB132="Polymer",IF(OR(Measurements!M129="N/R",Measurements!M129=""),"N/R",Measurements!M129),"-"))</f>
        <v/>
      </c>
      <c r="O128" s="544" t="str">
        <f>IF(Data!$B132="","",IF(Data!AB132="Polymer",IF(OR(J128="N/R",J128=""),"N/R",J128/N128),"-"))</f>
        <v/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90"/>
      <c r="B129" s="98" t="str">
        <f>IF(Data!$B133="","",IF(Data!AB133="Polymer",Data!A133,"Not Polymer"))</f>
        <v/>
      </c>
      <c r="C129" s="532" t="str">
        <f>IF(B129="","",Data!B133)</f>
        <v/>
      </c>
      <c r="D129" s="399" t="str">
        <f>IF(Data!$B133="","",IF(Data!AB133="Polymer",Data!S133,"-"))</f>
        <v/>
      </c>
      <c r="E129" s="399" t="str">
        <f>IF(Data!$B133="","",IF(Data!AB133="Polymer",Data!I133,"-"))</f>
        <v/>
      </c>
      <c r="F129" s="90" t="str">
        <f>IF(Data!$B133="","",IF(Data!AB133="Polymer",Data!AE133,"-"))</f>
        <v/>
      </c>
      <c r="G129" s="401" t="str">
        <f>IF(Data!$B133="","",IF(Data!AB133="Polymer",IF(OR(Data!AP133="N/R",Data!AP133=""),"N/R",Data!AP133*1000),"-"))</f>
        <v/>
      </c>
      <c r="H129" s="408" t="str">
        <f>IF(Data!$B133="","",IF(Data!AB133="Polymer",IF(OR(D129="N/R",D129=""),"N/R",D129/1000),"-"))</f>
        <v/>
      </c>
      <c r="I129" s="541" t="str">
        <f>IF(Data!$B133="","",IF(Data!AB133="Polymer",IF(OR(Data!T133="N/R",Data!T133=""),"N/R",Data!T133/1000),"-"))</f>
        <v/>
      </c>
      <c r="J129" s="542" t="str">
        <f>IF(Data!$B133="","",IF(Data!AB133="Polymer",IF(OR(Measurements!P130="N/R",Measurements!P130=""),"N/R",Measurements!P130),"-"))</f>
        <v/>
      </c>
      <c r="K129" s="542" t="str">
        <f>IF(Data!$B133="","",IF(Data!AB133="Polymer",IF(OR(Measurements!Q130="N/R",Measurements!Q130=""),"N/R",Measurements!Q130/(10*10)),"-"))</f>
        <v/>
      </c>
      <c r="L129" s="542" t="str">
        <f>IF(Data!$B133="","",IF(Data!AB133="Polymer",IF(OR(Measurements!X130="N/R",Measurements!X130=""),"N/R",Measurements!X130/(10*10)),"-"))</f>
        <v/>
      </c>
      <c r="M129" s="542" t="str">
        <f>IF(Data!$B133="","",IF(Data!AB133="Polymer",IF(OR(Measurements!AI130="N/R",Measurements!AI130=""),"N/R",Measurements!AI130),"-"))</f>
        <v/>
      </c>
      <c r="N129" s="544" t="str">
        <f>IF(Data!$B133="","",IF(Data!AB133="Polymer",IF(OR(Measurements!M130="N/R",Measurements!M130=""),"N/R",Measurements!M130),"-"))</f>
        <v/>
      </c>
      <c r="O129" s="544" t="str">
        <f>IF(Data!$B133="","",IF(Data!AB133="Polymer",IF(OR(J129="N/R",J129=""),"N/R",J129/N129),"-"))</f>
        <v/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>
      <c r="A130" s="90"/>
      <c r="B130" s="98" t="str">
        <f>IF(Data!$B134="","",IF(Data!AB134="Polymer",Data!A134,"Not Polymer"))</f>
        <v/>
      </c>
      <c r="C130" s="532" t="str">
        <f>IF(B130="","",Data!B134)</f>
        <v/>
      </c>
      <c r="D130" s="399" t="str">
        <f>IF(Data!$B134="","",IF(Data!AB134="Polymer",Data!S134,"-"))</f>
        <v/>
      </c>
      <c r="E130" s="399" t="str">
        <f>IF(Data!$B134="","",IF(Data!AB134="Polymer",Data!I134,"-"))</f>
        <v/>
      </c>
      <c r="F130" s="90" t="str">
        <f>IF(Data!$B134="","",IF(Data!AB134="Polymer",Data!AE134,"-"))</f>
        <v/>
      </c>
      <c r="G130" s="401" t="str">
        <f>IF(Data!$B134="","",IF(Data!AB134="Polymer",IF(OR(Data!AP134="N/R",Data!AP134=""),"N/R",Data!AP134*1000),"-"))</f>
        <v/>
      </c>
      <c r="H130" s="408" t="str">
        <f>IF(Data!$B134="","",IF(Data!AB134="Polymer",IF(OR(D130="N/R",D130=""),"N/R",D130/1000),"-"))</f>
        <v/>
      </c>
      <c r="I130" s="541" t="str">
        <f>IF(Data!$B134="","",IF(Data!AB134="Polymer",IF(OR(Data!T134="N/R",Data!T134=""),"N/R",Data!T134/1000),"-"))</f>
        <v/>
      </c>
      <c r="J130" s="542" t="str">
        <f>IF(Data!$B134="","",IF(Data!AB134="Polymer",IF(OR(Measurements!P131="N/R",Measurements!P131=""),"N/R",Measurements!P131),"-"))</f>
        <v/>
      </c>
      <c r="K130" s="542" t="str">
        <f>IF(Data!$B134="","",IF(Data!AB134="Polymer",IF(OR(Measurements!Q131="N/R",Measurements!Q131=""),"N/R",Measurements!Q131/(10*10)),"-"))</f>
        <v/>
      </c>
      <c r="L130" s="542" t="str">
        <f>IF(Data!$B134="","",IF(Data!AB134="Polymer",IF(OR(Measurements!X131="N/R",Measurements!X131=""),"N/R",Measurements!X131/(10*10)),"-"))</f>
        <v/>
      </c>
      <c r="M130" s="542" t="str">
        <f>IF(Data!$B134="","",IF(Data!AB134="Polymer",IF(OR(Measurements!AI131="N/R",Measurements!AI131=""),"N/R",Measurements!AI131),"-"))</f>
        <v/>
      </c>
      <c r="N130" s="544" t="str">
        <f>IF(Data!$B134="","",IF(Data!AB134="Polymer",IF(OR(Measurements!M131="N/R",Measurements!M131=""),"N/R",Measurements!M131),"-"))</f>
        <v/>
      </c>
      <c r="O130" s="544" t="str">
        <f>IF(Data!$B134="","",IF(Data!AB134="Polymer",IF(OR(J130="N/R",J130=""),"N/R",J130/N130),"-"))</f>
        <v/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>
      <c r="A131" s="90"/>
      <c r="B131" s="98" t="str">
        <f>IF(Data!$B135="","",IF(Data!AB135="Polymer",Data!A135,"Not Polymer"))</f>
        <v/>
      </c>
      <c r="C131" s="532" t="str">
        <f>IF(B131="","",Data!B135)</f>
        <v/>
      </c>
      <c r="D131" s="399" t="str">
        <f>IF(Data!$B135="","",IF(Data!AB135="Polymer",Data!S135,"-"))</f>
        <v/>
      </c>
      <c r="E131" s="399" t="str">
        <f>IF(Data!$B135="","",IF(Data!AB135="Polymer",Data!I135,"-"))</f>
        <v/>
      </c>
      <c r="F131" s="90" t="str">
        <f>IF(Data!$B135="","",IF(Data!AB135="Polymer",Data!AE135,"-"))</f>
        <v/>
      </c>
      <c r="G131" s="401" t="str">
        <f>IF(Data!$B135="","",IF(Data!AB135="Polymer",IF(OR(Data!AP135="N/R",Data!AP135=""),"N/R",Data!AP135*1000),"-"))</f>
        <v/>
      </c>
      <c r="H131" s="408" t="str">
        <f>IF(Data!$B135="","",IF(Data!AB135="Polymer",IF(OR(D131="N/R",D131=""),"N/R",D131/1000),"-"))</f>
        <v/>
      </c>
      <c r="I131" s="541" t="str">
        <f>IF(Data!$B135="","",IF(Data!AB135="Polymer",IF(OR(Data!T135="N/R",Data!T135=""),"N/R",Data!T135/1000),"-"))</f>
        <v/>
      </c>
      <c r="J131" s="542" t="str">
        <f>IF(Data!$B135="","",IF(Data!AB135="Polymer",IF(OR(Measurements!P132="N/R",Measurements!P132=""),"N/R",Measurements!P132),"-"))</f>
        <v/>
      </c>
      <c r="K131" s="542" t="str">
        <f>IF(Data!$B135="","",IF(Data!AB135="Polymer",IF(OR(Measurements!Q132="N/R",Measurements!Q132=""),"N/R",Measurements!Q132/(10*10)),"-"))</f>
        <v/>
      </c>
      <c r="L131" s="542" t="str">
        <f>IF(Data!$B135="","",IF(Data!AB135="Polymer",IF(OR(Measurements!X132="N/R",Measurements!X132=""),"N/R",Measurements!X132/(10*10)),"-"))</f>
        <v/>
      </c>
      <c r="M131" s="542" t="str">
        <f>IF(Data!$B135="","",IF(Data!AB135="Polymer",IF(OR(Measurements!AI132="N/R",Measurements!AI132=""),"N/R",Measurements!AI132),"-"))</f>
        <v/>
      </c>
      <c r="N131" s="544" t="str">
        <f>IF(Data!$B135="","",IF(Data!AB135="Polymer",IF(OR(Measurements!M132="N/R",Measurements!M132=""),"N/R",Measurements!M132),"-"))</f>
        <v/>
      </c>
      <c r="O131" s="544" t="str">
        <f>IF(Data!$B135="","",IF(Data!AB135="Polymer",IF(OR(J131="N/R",J131=""),"N/R",J131/N131),"-"))</f>
        <v/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>
      <c r="A132" s="90"/>
      <c r="B132" s="98" t="str">
        <f>IF(Data!$B136="","",IF(Data!AB136="Polymer",Data!A136,"Not Polymer"))</f>
        <v/>
      </c>
      <c r="C132" s="532" t="str">
        <f>IF(B132="","",Data!B136)</f>
        <v/>
      </c>
      <c r="D132" s="399" t="str">
        <f>IF(Data!$B136="","",IF(Data!AB136="Polymer",Data!S136,"-"))</f>
        <v/>
      </c>
      <c r="E132" s="399" t="str">
        <f>IF(Data!$B136="","",IF(Data!AB136="Polymer",Data!I136,"-"))</f>
        <v/>
      </c>
      <c r="F132" s="90" t="str">
        <f>IF(Data!$B136="","",IF(Data!AB136="Polymer",Data!AE136,"-"))</f>
        <v/>
      </c>
      <c r="G132" s="401" t="str">
        <f>IF(Data!$B136="","",IF(Data!AB136="Polymer",IF(OR(Data!AP136="N/R",Data!AP136=""),"N/R",Data!AP136*1000),"-"))</f>
        <v/>
      </c>
      <c r="H132" s="408" t="str">
        <f>IF(Data!$B136="","",IF(Data!AB136="Polymer",IF(OR(D132="N/R",D132=""),"N/R",D132/1000),"-"))</f>
        <v/>
      </c>
      <c r="I132" s="541" t="str">
        <f>IF(Data!$B136="","",IF(Data!AB136="Polymer",IF(OR(Data!T136="N/R",Data!T136=""),"N/R",Data!T136/1000),"-"))</f>
        <v/>
      </c>
      <c r="J132" s="542" t="str">
        <f>IF(Data!$B136="","",IF(Data!AB136="Polymer",IF(OR(Measurements!P133="N/R",Measurements!P133=""),"N/R",Measurements!P133),"-"))</f>
        <v/>
      </c>
      <c r="K132" s="542" t="str">
        <f>IF(Data!$B136="","",IF(Data!AB136="Polymer",IF(OR(Measurements!Q133="N/R",Measurements!Q133=""),"N/R",Measurements!Q133/(10*10)),"-"))</f>
        <v/>
      </c>
      <c r="L132" s="542" t="str">
        <f>IF(Data!$B136="","",IF(Data!AB136="Polymer",IF(OR(Measurements!X133="N/R",Measurements!X133=""),"N/R",Measurements!X133/(10*10)),"-"))</f>
        <v/>
      </c>
      <c r="M132" s="542" t="str">
        <f>IF(Data!$B136="","",IF(Data!AB136="Polymer",IF(OR(Measurements!AI133="N/R",Measurements!AI133=""),"N/R",Measurements!AI133),"-"))</f>
        <v/>
      </c>
      <c r="N132" s="544" t="str">
        <f>IF(Data!$B136="","",IF(Data!AB136="Polymer",IF(OR(Measurements!M133="N/R",Measurements!M133=""),"N/R",Measurements!M133),"-"))</f>
        <v/>
      </c>
      <c r="O132" s="544" t="str">
        <f>IF(Data!$B136="","",IF(Data!AB136="Polymer",IF(OR(J132="N/R",J132=""),"N/R",J132/N132),"-"))</f>
        <v/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>
      <c r="A133" s="90"/>
      <c r="B133" s="98" t="str">
        <f>IF(Data!$B137="","",IF(Data!AB137="Polymer",Data!A137,"Not Polymer"))</f>
        <v/>
      </c>
      <c r="C133" s="532" t="str">
        <f>IF(B133="","",Data!B137)</f>
        <v/>
      </c>
      <c r="D133" s="399" t="str">
        <f>IF(Data!$B137="","",IF(Data!AB137="Polymer",Data!S137,"-"))</f>
        <v/>
      </c>
      <c r="E133" s="399" t="str">
        <f>IF(Data!$B137="","",IF(Data!AB137="Polymer",Data!I137,"-"))</f>
        <v/>
      </c>
      <c r="F133" s="90" t="str">
        <f>IF(Data!$B137="","",IF(Data!AB137="Polymer",Data!AE137,"-"))</f>
        <v/>
      </c>
      <c r="G133" s="401" t="str">
        <f>IF(Data!$B137="","",IF(Data!AB137="Polymer",IF(OR(Data!AP137="N/R",Data!AP137=""),"N/R",Data!AP137*1000),"-"))</f>
        <v/>
      </c>
      <c r="H133" s="408" t="str">
        <f>IF(Data!$B137="","",IF(Data!AB137="Polymer",IF(OR(D133="N/R",D133=""),"N/R",D133/1000),"-"))</f>
        <v/>
      </c>
      <c r="I133" s="541" t="str">
        <f>IF(Data!$B137="","",IF(Data!AB137="Polymer",IF(OR(Data!T137="N/R",Data!T137=""),"N/R",Data!T137/1000),"-"))</f>
        <v/>
      </c>
      <c r="J133" s="542" t="str">
        <f>IF(Data!$B137="","",IF(Data!AB137="Polymer",IF(OR(Measurements!P134="N/R",Measurements!P134=""),"N/R",Measurements!P134),"-"))</f>
        <v/>
      </c>
      <c r="K133" s="542" t="str">
        <f>IF(Data!$B137="","",IF(Data!AB137="Polymer",IF(OR(Measurements!Q134="N/R",Measurements!Q134=""),"N/R",Measurements!Q134/(10*10)),"-"))</f>
        <v/>
      </c>
      <c r="L133" s="542" t="str">
        <f>IF(Data!$B137="","",IF(Data!AB137="Polymer",IF(OR(Measurements!X134="N/R",Measurements!X134=""),"N/R",Measurements!X134/(10*10)),"-"))</f>
        <v/>
      </c>
      <c r="M133" s="542" t="str">
        <f>IF(Data!$B137="","",IF(Data!AB137="Polymer",IF(OR(Measurements!AI134="N/R",Measurements!AI134=""),"N/R",Measurements!AI134),"-"))</f>
        <v/>
      </c>
      <c r="N133" s="544" t="str">
        <f>IF(Data!$B137="","",IF(Data!AB137="Polymer",IF(OR(Measurements!M134="N/R",Measurements!M134=""),"N/R",Measurements!M134),"-"))</f>
        <v/>
      </c>
      <c r="O133" s="544" t="str">
        <f>IF(Data!$B137="","",IF(Data!AB137="Polymer",IF(OR(J133="N/R",J133=""),"N/R",J133/N133),"-"))</f>
        <v/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>
      <c r="A134" s="90"/>
      <c r="B134" s="98" t="str">
        <f>IF(Data!$B138="","",IF(Data!AB138="Polymer",Data!A138,"Not Polymer"))</f>
        <v/>
      </c>
      <c r="C134" s="532" t="str">
        <f>IF(B134="","",Data!B138)</f>
        <v/>
      </c>
      <c r="D134" s="399" t="str">
        <f>IF(Data!$B138="","",IF(Data!AB138="Polymer",Data!S138,"-"))</f>
        <v/>
      </c>
      <c r="E134" s="399" t="str">
        <f>IF(Data!$B138="","",IF(Data!AB138="Polymer",Data!I138,"-"))</f>
        <v/>
      </c>
      <c r="F134" s="90" t="str">
        <f>IF(Data!$B138="","",IF(Data!AB138="Polymer",Data!AE138,"-"))</f>
        <v/>
      </c>
      <c r="G134" s="401" t="str">
        <f>IF(Data!$B138="","",IF(Data!AB138="Polymer",IF(OR(Data!AP138="N/R",Data!AP138=""),"N/R",Data!AP138*1000),"-"))</f>
        <v/>
      </c>
      <c r="H134" s="408" t="str">
        <f>IF(Data!$B138="","",IF(Data!AB138="Polymer",IF(OR(D134="N/R",D134=""),"N/R",D134/1000),"-"))</f>
        <v/>
      </c>
      <c r="I134" s="541" t="str">
        <f>IF(Data!$B138="","",IF(Data!AB138="Polymer",IF(OR(Data!T138="N/R",Data!T138=""),"N/R",Data!T138/1000),"-"))</f>
        <v/>
      </c>
      <c r="J134" s="542" t="str">
        <f>IF(Data!$B138="","",IF(Data!AB138="Polymer",IF(OR(Measurements!P135="N/R",Measurements!P135=""),"N/R",Measurements!P135),"-"))</f>
        <v/>
      </c>
      <c r="K134" s="542" t="str">
        <f>IF(Data!$B138="","",IF(Data!AB138="Polymer",IF(OR(Measurements!Q135="N/R",Measurements!Q135=""),"N/R",Measurements!Q135/(10*10)),"-"))</f>
        <v/>
      </c>
      <c r="L134" s="542" t="str">
        <f>IF(Data!$B138="","",IF(Data!AB138="Polymer",IF(OR(Measurements!X135="N/R",Measurements!X135=""),"N/R",Measurements!X135/(10*10)),"-"))</f>
        <v/>
      </c>
      <c r="M134" s="542" t="str">
        <f>IF(Data!$B138="","",IF(Data!AB138="Polymer",IF(OR(Measurements!AI135="N/R",Measurements!AI135=""),"N/R",Measurements!AI135),"-"))</f>
        <v/>
      </c>
      <c r="N134" s="544" t="str">
        <f>IF(Data!$B138="","",IF(Data!AB138="Polymer",IF(OR(Measurements!M135="N/R",Measurements!M135=""),"N/R",Measurements!M135),"-"))</f>
        <v/>
      </c>
      <c r="O134" s="544" t="str">
        <f>IF(Data!$B138="","",IF(Data!AB138="Polymer",IF(OR(J134="N/R",J134=""),"N/R",J134/N134),"-"))</f>
        <v/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>
      <c r="A135" s="90"/>
      <c r="B135" s="98" t="str">
        <f>IF(Data!$B139="","",IF(Data!AB139="Polymer",Data!A139,"Not Polymer"))</f>
        <v/>
      </c>
      <c r="C135" s="532" t="str">
        <f>IF(B135="","",Data!B139)</f>
        <v/>
      </c>
      <c r="D135" s="399" t="str">
        <f>IF(Data!$B139="","",IF(Data!AB139="Polymer",Data!S139,"-"))</f>
        <v/>
      </c>
      <c r="E135" s="399" t="str">
        <f>IF(Data!$B139="","",IF(Data!AB139="Polymer",Data!I139,"-"))</f>
        <v/>
      </c>
      <c r="F135" s="90" t="str">
        <f>IF(Data!$B139="","",IF(Data!AB139="Polymer",Data!AE139,"-"))</f>
        <v/>
      </c>
      <c r="G135" s="401" t="str">
        <f>IF(Data!$B139="","",IF(Data!AB139="Polymer",IF(OR(Data!AP139="N/R",Data!AP139=""),"N/R",Data!AP139*1000),"-"))</f>
        <v/>
      </c>
      <c r="H135" s="408" t="str">
        <f>IF(Data!$B139="","",IF(Data!AB139="Polymer",IF(OR(D135="N/R",D135=""),"N/R",D135/1000),"-"))</f>
        <v/>
      </c>
      <c r="I135" s="541" t="str">
        <f>IF(Data!$B139="","",IF(Data!AB139="Polymer",IF(OR(Data!T139="N/R",Data!T139=""),"N/R",Data!T139/1000),"-"))</f>
        <v/>
      </c>
      <c r="J135" s="542" t="str">
        <f>IF(Data!$B139="","",IF(Data!AB139="Polymer",IF(OR(Measurements!P136="N/R",Measurements!P136=""),"N/R",Measurements!P136),"-"))</f>
        <v/>
      </c>
      <c r="K135" s="542" t="str">
        <f>IF(Data!$B139="","",IF(Data!AB139="Polymer",IF(OR(Measurements!Q136="N/R",Measurements!Q136=""),"N/R",Measurements!Q136/(10*10)),"-"))</f>
        <v/>
      </c>
      <c r="L135" s="542" t="str">
        <f>IF(Data!$B139="","",IF(Data!AB139="Polymer",IF(OR(Measurements!X136="N/R",Measurements!X136=""),"N/R",Measurements!X136/(10*10)),"-"))</f>
        <v/>
      </c>
      <c r="M135" s="542" t="str">
        <f>IF(Data!$B139="","",IF(Data!AB139="Polymer",IF(OR(Measurements!AI136="N/R",Measurements!AI136=""),"N/R",Measurements!AI136),"-"))</f>
        <v/>
      </c>
      <c r="N135" s="544" t="str">
        <f>IF(Data!$B139="","",IF(Data!AB139="Polymer",IF(OR(Measurements!M136="N/R",Measurements!M136=""),"N/R",Measurements!M136),"-"))</f>
        <v/>
      </c>
      <c r="O135" s="544" t="str">
        <f>IF(Data!$B139="","",IF(Data!AB139="Polymer",IF(OR(J135="N/R",J135=""),"N/R",J135/N135),"-"))</f>
        <v/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>
      <c r="A136" s="90"/>
      <c r="B136" s="98" t="str">
        <f>IF(Data!$B140="","",IF(Data!AB140="Polymer",Data!A140,"Not Polymer"))</f>
        <v/>
      </c>
      <c r="C136" s="532" t="str">
        <f>IF(B136="","",Data!B140)</f>
        <v/>
      </c>
      <c r="D136" s="399" t="str">
        <f>IF(Data!$B140="","",IF(Data!AB140="Polymer",Data!S140,"-"))</f>
        <v/>
      </c>
      <c r="E136" s="399" t="str">
        <f>IF(Data!$B140="","",IF(Data!AB140="Polymer",Data!I140,"-"))</f>
        <v/>
      </c>
      <c r="F136" s="90" t="str">
        <f>IF(Data!$B140="","",IF(Data!AB140="Polymer",Data!AE140,"-"))</f>
        <v/>
      </c>
      <c r="G136" s="401" t="str">
        <f>IF(Data!$B140="","",IF(Data!AB140="Polymer",IF(OR(Data!AP140="N/R",Data!AP140=""),"N/R",Data!AP140*1000),"-"))</f>
        <v/>
      </c>
      <c r="H136" s="408" t="str">
        <f>IF(Data!$B140="","",IF(Data!AB140="Polymer",IF(OR(D136="N/R",D136=""),"N/R",D136/1000),"-"))</f>
        <v/>
      </c>
      <c r="I136" s="541" t="str">
        <f>IF(Data!$B140="","",IF(Data!AB140="Polymer",IF(OR(Data!T140="N/R",Data!T140=""),"N/R",Data!T140/1000),"-"))</f>
        <v/>
      </c>
      <c r="J136" s="542" t="str">
        <f>IF(Data!$B140="","",IF(Data!AB140="Polymer",IF(OR(Measurements!P137="N/R",Measurements!P137=""),"N/R",Measurements!P137),"-"))</f>
        <v/>
      </c>
      <c r="K136" s="542" t="str">
        <f>IF(Data!$B140="","",IF(Data!AB140="Polymer",IF(OR(Measurements!Q137="N/R",Measurements!Q137=""),"N/R",Measurements!Q137/(10*10)),"-"))</f>
        <v/>
      </c>
      <c r="L136" s="542" t="str">
        <f>IF(Data!$B140="","",IF(Data!AB140="Polymer",IF(OR(Measurements!X137="N/R",Measurements!X137=""),"N/R",Measurements!X137/(10*10)),"-"))</f>
        <v/>
      </c>
      <c r="M136" s="542" t="str">
        <f>IF(Data!$B140="","",IF(Data!AB140="Polymer",IF(OR(Measurements!AI137="N/R",Measurements!AI137=""),"N/R",Measurements!AI137),"-"))</f>
        <v/>
      </c>
      <c r="N136" s="544" t="str">
        <f>IF(Data!$B140="","",IF(Data!AB140="Polymer",IF(OR(Measurements!M137="N/R",Measurements!M137=""),"N/R",Measurements!M137),"-"))</f>
        <v/>
      </c>
      <c r="O136" s="544" t="str">
        <f>IF(Data!$B140="","",IF(Data!AB140="Polymer",IF(OR(J136="N/R",J136=""),"N/R",J136/N136),"-"))</f>
        <v/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>
      <c r="L137" s="542" t="str">
        <f>IF(Data!$B141="","",IF(Data!AB141="Polymer",IF(OR(Measurements!Q138="N/R",Measurements!Q138=""),"N/R",Measurements!X138),"-"))</f>
        <v/>
      </c>
      <c r="M137" s="534"/>
      <c r="N137" s="534"/>
      <c r="O137" s="534"/>
    </row>
  </sheetData>
  <sortState xmlns:xlrd2="http://schemas.microsoft.com/office/spreadsheetml/2017/richdata2" ref="AH45:AI52">
    <sortCondition ref="AH45"/>
  </sortState>
  <mergeCells count="2">
    <mergeCell ref="AG42:AM42"/>
    <mergeCell ref="AO42:AU42"/>
  </mergeCells>
  <conditionalFormatting sqref="B2:J136">
    <cfRule type="expression" dxfId="14" priority="12">
      <formula>$B2="Not Polymer"</formula>
    </cfRule>
  </conditionalFormatting>
  <conditionalFormatting sqref="B2:J136">
    <cfRule type="expression" dxfId="13" priority="11">
      <formula>OR($D2="N/R",$G2="N/R")</formula>
    </cfRule>
  </conditionalFormatting>
  <conditionalFormatting sqref="K2:K136">
    <cfRule type="expression" dxfId="12" priority="10">
      <formula>$B2="Not Polymer"</formula>
    </cfRule>
  </conditionalFormatting>
  <conditionalFormatting sqref="K2:K136">
    <cfRule type="expression" dxfId="11" priority="9">
      <formula>OR($D2="N/R",$G2="N/R")</formula>
    </cfRule>
  </conditionalFormatting>
  <conditionalFormatting sqref="L2:M137">
    <cfRule type="expression" dxfId="10" priority="8">
      <formula>$B2="Not Polymer"</formula>
    </cfRule>
  </conditionalFormatting>
  <conditionalFormatting sqref="L2:M137">
    <cfRule type="expression" dxfId="9" priority="7">
      <formula>OR($D2="N/R",$G2="N/R")</formula>
    </cfRule>
  </conditionalFormatting>
  <conditionalFormatting sqref="A2:A136">
    <cfRule type="expression" dxfId="8" priority="6">
      <formula>$B2="Not Polymer"</formula>
    </cfRule>
  </conditionalFormatting>
  <conditionalFormatting sqref="A2:A136">
    <cfRule type="expression" dxfId="7" priority="5">
      <formula>OR($D2="N/R",$G2="N/R")</formula>
    </cfRule>
  </conditionalFormatting>
  <conditionalFormatting sqref="N2:N137">
    <cfRule type="expression" dxfId="6" priority="4">
      <formula>$B2="Not Polymer"</formula>
    </cfRule>
  </conditionalFormatting>
  <conditionalFormatting sqref="N2:N137">
    <cfRule type="expression" dxfId="5" priority="3">
      <formula>OR($D2="N/R",$G2="N/R")</formula>
    </cfRule>
  </conditionalFormatting>
  <conditionalFormatting sqref="O2:O137">
    <cfRule type="expression" dxfId="4" priority="2">
      <formula>$B2="Not Polymer"</formula>
    </cfRule>
  </conditionalFormatting>
  <conditionalFormatting sqref="O2:O137">
    <cfRule type="expression" dxfId="3" priority="1">
      <formula>OR($D2="N/R",$G2="N/R")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34B5-9079-47D3-965F-739A4571236A}">
  <dimension ref="A1:D26"/>
  <sheetViews>
    <sheetView workbookViewId="0">
      <selection activeCell="C21" sqref="C21"/>
    </sheetView>
  </sheetViews>
  <sheetFormatPr defaultColWidth="8.85546875" defaultRowHeight="12.75"/>
  <cols>
    <col min="1" max="1" width="34.42578125" bestFit="1" customWidth="1"/>
    <col min="2" max="2" width="10.140625" customWidth="1"/>
    <col min="3" max="3" width="12" style="68" customWidth="1"/>
    <col min="4" max="4" width="16.85546875" customWidth="1"/>
    <col min="7" max="7" width="12" customWidth="1"/>
  </cols>
  <sheetData>
    <row r="1" spans="1:4" ht="15.75">
      <c r="A1" s="67" t="s">
        <v>222</v>
      </c>
      <c r="B1" s="67"/>
    </row>
    <row r="2" spans="1:4" ht="12.6" customHeight="1">
      <c r="A2" s="14" t="s">
        <v>223</v>
      </c>
      <c r="C2" s="644" t="s">
        <v>224</v>
      </c>
      <c r="D2" s="646">
        <v>5</v>
      </c>
    </row>
    <row r="3" spans="1:4" ht="12.6" customHeight="1">
      <c r="A3" s="14" t="s">
        <v>5</v>
      </c>
      <c r="C3" s="645"/>
      <c r="D3" s="647"/>
    </row>
    <row r="5" spans="1:4" ht="25.5">
      <c r="A5" s="187" t="s">
        <v>225</v>
      </c>
      <c r="B5" s="188" t="s">
        <v>226</v>
      </c>
      <c r="C5" s="246" t="s">
        <v>227</v>
      </c>
      <c r="D5" s="245" t="s">
        <v>228</v>
      </c>
    </row>
    <row r="6" spans="1:4">
      <c r="A6" s="77" t="s">
        <v>229</v>
      </c>
      <c r="B6" s="69" t="s">
        <v>201</v>
      </c>
      <c r="C6" s="189" t="s">
        <v>201</v>
      </c>
      <c r="D6" s="194"/>
    </row>
    <row r="7" spans="1:4">
      <c r="A7" s="218" t="s">
        <v>230</v>
      </c>
      <c r="B7" s="214">
        <v>0</v>
      </c>
      <c r="C7" s="215">
        <f ca="1">B7-COUNTIF(INDIRECT(ADDRESS(D7+1+D2,9,4,TRUE,"Data")):'Data'!L107,A7)</f>
        <v>0</v>
      </c>
      <c r="D7" s="217"/>
    </row>
    <row r="8" spans="1:4">
      <c r="A8" s="78" t="s">
        <v>231</v>
      </c>
      <c r="B8" s="70">
        <v>20</v>
      </c>
      <c r="C8" s="190">
        <f ca="1">B8-COUNTIF(INDIRECT(ADDRESS(D8+1+D2,9,4,TRUE,"Data")):'Data'!L107,A8)</f>
        <v>20</v>
      </c>
      <c r="D8" s="193">
        <v>4</v>
      </c>
    </row>
    <row r="9" spans="1:4">
      <c r="A9" s="78" t="s">
        <v>232</v>
      </c>
      <c r="B9" s="70">
        <v>40</v>
      </c>
      <c r="C9" s="190">
        <f ca="1">B9-COUNTIF(INDIRECT(ADDRESS(D9+D2,9,4,TRUE,"Data")):'Data'!L107,A9)</f>
        <v>40</v>
      </c>
      <c r="D9" s="193">
        <v>4</v>
      </c>
    </row>
    <row r="10" spans="1:4">
      <c r="A10" s="79" t="s">
        <v>233</v>
      </c>
      <c r="B10" s="71">
        <v>40</v>
      </c>
      <c r="C10" s="191">
        <f ca="1">B10-COUNTIF(INDIRECT(ADDRESS(D10+1+D2,9,4,TRUE,"Data")):'Data'!L107,A10)</f>
        <v>40</v>
      </c>
      <c r="D10" s="196">
        <v>4</v>
      </c>
    </row>
    <row r="11" spans="1:4">
      <c r="A11" s="80" t="s">
        <v>234</v>
      </c>
      <c r="B11" s="72">
        <f>SUM(B8:B10)</f>
        <v>100</v>
      </c>
      <c r="C11" s="192">
        <f ca="1">SUM(C7:C10)</f>
        <v>100</v>
      </c>
      <c r="D11" s="195"/>
    </row>
    <row r="12" spans="1:4">
      <c r="A12" s="81" t="s">
        <v>235</v>
      </c>
      <c r="B12" s="73" t="s">
        <v>236</v>
      </c>
      <c r="C12" s="189" t="s">
        <v>236</v>
      </c>
      <c r="D12" s="194"/>
    </row>
    <row r="13" spans="1:4">
      <c r="A13" s="78" t="s">
        <v>237</v>
      </c>
      <c r="B13" s="1">
        <v>1</v>
      </c>
      <c r="C13" s="190"/>
      <c r="D13" s="193">
        <v>7</v>
      </c>
    </row>
    <row r="14" spans="1:4">
      <c r="A14" s="79" t="s">
        <v>238</v>
      </c>
      <c r="B14" s="74">
        <v>2</v>
      </c>
      <c r="C14" s="191"/>
      <c r="D14" s="196">
        <v>7</v>
      </c>
    </row>
    <row r="15" spans="1:4">
      <c r="A15" s="82" t="s">
        <v>234</v>
      </c>
      <c r="B15" s="75">
        <f>SUM(B13:B14)</f>
        <v>3</v>
      </c>
      <c r="C15" s="192">
        <f>SUM(C13:C14)</f>
        <v>0</v>
      </c>
      <c r="D15" s="195"/>
    </row>
    <row r="16" spans="1:4">
      <c r="A16" s="81" t="s">
        <v>239</v>
      </c>
      <c r="B16" s="73" t="s">
        <v>240</v>
      </c>
      <c r="C16" s="189" t="s">
        <v>240</v>
      </c>
      <c r="D16" s="194"/>
    </row>
    <row r="17" spans="1:4">
      <c r="A17" s="78" t="s">
        <v>241</v>
      </c>
      <c r="B17" s="1">
        <f>2*3628.74</f>
        <v>7257.48</v>
      </c>
      <c r="C17" s="190">
        <f ca="1">B17-SUM(INDIRECT(ADDRESS(D17+1+D2,17,4,TRUE,"Data")):'Data'!V107)</f>
        <v>-431669.94438361941</v>
      </c>
      <c r="D17" s="193">
        <v>0</v>
      </c>
    </row>
    <row r="18" spans="1:4">
      <c r="A18" s="79" t="s">
        <v>242</v>
      </c>
      <c r="B18" s="74">
        <v>453.59</v>
      </c>
      <c r="C18" s="191">
        <f ca="1">B18-SUM(INDIRECT(ADDRESS(D18+1+D2,16,4,TRUE,"Data")):'Data'!U107)</f>
        <v>-428730.91458361928</v>
      </c>
      <c r="D18" s="196">
        <v>0</v>
      </c>
    </row>
    <row r="19" spans="1:4">
      <c r="A19" s="80" t="s">
        <v>234</v>
      </c>
      <c r="B19" s="76">
        <f>SUM(B17:B18)</f>
        <v>7711.07</v>
      </c>
      <c r="C19" s="192">
        <f ca="1">SUM(C17:C18)</f>
        <v>-860400.85896723869</v>
      </c>
      <c r="D19" s="195"/>
    </row>
    <row r="20" spans="1:4">
      <c r="A20" s="81" t="s">
        <v>243</v>
      </c>
      <c r="B20" s="73" t="s">
        <v>201</v>
      </c>
      <c r="C20" s="189" t="s">
        <v>201</v>
      </c>
      <c r="D20" s="194"/>
    </row>
    <row r="21" spans="1:4">
      <c r="A21" s="83" t="s">
        <v>215</v>
      </c>
      <c r="B21" s="74">
        <v>110</v>
      </c>
      <c r="C21" s="191">
        <f>B21-Data!J2+D21+1</f>
        <v>18</v>
      </c>
      <c r="D21" s="196">
        <v>4</v>
      </c>
    </row>
    <row r="22" spans="1:4">
      <c r="A22" s="84" t="s">
        <v>234</v>
      </c>
      <c r="B22" s="85">
        <f>SUM(B21)</f>
        <v>110</v>
      </c>
      <c r="C22" s="192">
        <f>SUM(C21)</f>
        <v>18</v>
      </c>
      <c r="D22" s="195"/>
    </row>
    <row r="23" spans="1:4">
      <c r="A23" s="81" t="s">
        <v>244</v>
      </c>
      <c r="B23" s="73" t="s">
        <v>201</v>
      </c>
      <c r="C23" s="189" t="s">
        <v>201</v>
      </c>
      <c r="D23" s="194"/>
    </row>
    <row r="24" spans="1:4">
      <c r="A24" s="218">
        <v>1.4E-2</v>
      </c>
      <c r="B24" s="214">
        <v>60</v>
      </c>
      <c r="C24" s="215">
        <f ca="1">B24-COUNTIF(INDIRECT(ADDRESS(D24+1+D2,18,4,TRUE,"Data")):'Data'!W107,A24)</f>
        <v>60</v>
      </c>
      <c r="D24" s="216">
        <v>8</v>
      </c>
    </row>
    <row r="25" spans="1:4">
      <c r="A25" s="219">
        <v>0.02</v>
      </c>
      <c r="B25" s="74">
        <v>56</v>
      </c>
      <c r="C25" s="191">
        <f ca="1">B25-COUNTIF(INDIRECT(ADDRESS(D25+1+D2,18,4,TRUE,"Data")):'Data'!W107,A25)</f>
        <v>-33</v>
      </c>
      <c r="D25" s="196">
        <v>8</v>
      </c>
    </row>
    <row r="26" spans="1:4">
      <c r="A26" s="84" t="s">
        <v>234</v>
      </c>
      <c r="B26" s="85">
        <f>SUM(B24:B25)</f>
        <v>116</v>
      </c>
      <c r="C26" s="192">
        <f ca="1">SUM(C24:C25)</f>
        <v>27</v>
      </c>
      <c r="D26" s="195"/>
    </row>
  </sheetData>
  <mergeCells count="2">
    <mergeCell ref="C2:C3"/>
    <mergeCell ref="D2:D3"/>
  </mergeCells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9795-08D0-495B-8F1E-3F23ECEA8564}">
  <dimension ref="A1:AG65"/>
  <sheetViews>
    <sheetView workbookViewId="0">
      <pane ySplit="11" topLeftCell="A12" activePane="bottomLeft" state="frozen"/>
      <selection pane="bottomLeft" activeCell="B20" sqref="B20"/>
    </sheetView>
  </sheetViews>
  <sheetFormatPr defaultColWidth="8.85546875" defaultRowHeight="12.75"/>
  <cols>
    <col min="1" max="1" width="13.7109375" customWidth="1"/>
    <col min="2" max="2" width="34.42578125" customWidth="1"/>
    <col min="3" max="3" width="9.7109375" style="110" customWidth="1"/>
    <col min="4" max="4" width="10.28515625" customWidth="1"/>
    <col min="5" max="5" width="14" customWidth="1"/>
    <col min="6" max="6" width="25" customWidth="1"/>
    <col min="7" max="8" width="10.42578125" customWidth="1"/>
    <col min="9" max="9" width="12.28515625" style="200" customWidth="1"/>
    <col min="10" max="10" width="9" customWidth="1"/>
    <col min="11" max="11" width="8.28515625" style="110" customWidth="1"/>
    <col min="12" max="12" width="7.28515625" style="110" customWidth="1"/>
    <col min="13" max="13" width="8" style="445" customWidth="1"/>
    <col min="14" max="14" width="8" style="110" customWidth="1"/>
    <col min="15" max="15" width="10.28515625" style="120" customWidth="1"/>
    <col min="17" max="17" width="10.7109375" customWidth="1"/>
    <col min="18" max="18" width="9.140625" customWidth="1"/>
    <col min="19" max="19" width="12.140625" customWidth="1"/>
    <col min="20" max="20" width="12.42578125" customWidth="1"/>
    <col min="21" max="21" width="9" customWidth="1"/>
    <col min="22" max="22" width="9.140625" style="122" customWidth="1"/>
    <col min="23" max="23" width="9.85546875" customWidth="1"/>
    <col min="24" max="25" width="9.140625" customWidth="1"/>
    <col min="29" max="29" width="36.7109375" customWidth="1"/>
  </cols>
  <sheetData>
    <row r="1" spans="1:33">
      <c r="A1" s="428" t="s">
        <v>245</v>
      </c>
      <c r="B1" s="428"/>
    </row>
    <row r="2" spans="1:33">
      <c r="A2" t="s">
        <v>5</v>
      </c>
      <c r="E2" s="135"/>
      <c r="F2" s="135"/>
    </row>
    <row r="3" spans="1:33">
      <c r="A3" t="s">
        <v>246</v>
      </c>
    </row>
    <row r="7" spans="1:33">
      <c r="A7" s="561" t="s">
        <v>247</v>
      </c>
      <c r="B7" s="443">
        <f>SUM(D12:D65)</f>
        <v>109</v>
      </c>
    </row>
    <row r="11" spans="1:33" s="117" customFormat="1" ht="37.5" customHeight="1">
      <c r="A11" s="116" t="s">
        <v>248</v>
      </c>
      <c r="B11" s="144" t="s">
        <v>249</v>
      </c>
      <c r="C11" s="145" t="s">
        <v>250</v>
      </c>
      <c r="D11" s="146" t="s">
        <v>251</v>
      </c>
      <c r="E11" s="146" t="s">
        <v>252</v>
      </c>
      <c r="F11" s="146" t="s">
        <v>35</v>
      </c>
      <c r="G11" s="146" t="s">
        <v>253</v>
      </c>
      <c r="H11" s="146" t="s">
        <v>254</v>
      </c>
      <c r="I11" s="452" t="s">
        <v>255</v>
      </c>
      <c r="J11" s="146" t="s">
        <v>256</v>
      </c>
      <c r="K11" s="145" t="s">
        <v>257</v>
      </c>
      <c r="L11" s="145" t="s">
        <v>258</v>
      </c>
      <c r="M11" s="446" t="s">
        <v>259</v>
      </c>
      <c r="N11" s="168" t="s">
        <v>260</v>
      </c>
      <c r="O11" s="121" t="s">
        <v>261</v>
      </c>
      <c r="P11" s="429"/>
      <c r="Q11" s="429"/>
      <c r="R11" s="430" t="s">
        <v>248</v>
      </c>
      <c r="S11" s="431" t="s">
        <v>262</v>
      </c>
      <c r="T11" s="431" t="s">
        <v>263</v>
      </c>
      <c r="U11" s="431" t="s">
        <v>264</v>
      </c>
      <c r="V11" s="432" t="s">
        <v>265</v>
      </c>
      <c r="W11" s="431" t="s">
        <v>266</v>
      </c>
      <c r="X11" s="431" t="s">
        <v>267</v>
      </c>
      <c r="Y11" s="433" t="s">
        <v>268</v>
      </c>
      <c r="Z11" s="429"/>
      <c r="AA11" s="429"/>
      <c r="AB11" s="429"/>
      <c r="AC11" s="429"/>
      <c r="AD11" s="429"/>
      <c r="AE11" s="429"/>
      <c r="AF11" s="429"/>
      <c r="AG11" s="429"/>
    </row>
    <row r="12" spans="1:33" s="138" customFormat="1" ht="12.75" customHeight="1">
      <c r="A12" s="143" t="s">
        <v>70</v>
      </c>
      <c r="B12" s="141" t="s">
        <v>68</v>
      </c>
      <c r="C12" s="142" t="s">
        <v>70</v>
      </c>
      <c r="D12" s="142" t="s">
        <v>70</v>
      </c>
      <c r="E12" s="141" t="s">
        <v>70</v>
      </c>
      <c r="F12" s="141" t="s">
        <v>70</v>
      </c>
      <c r="G12" s="141" t="s">
        <v>70</v>
      </c>
      <c r="H12" s="141" t="s">
        <v>70</v>
      </c>
      <c r="I12" s="444" t="s">
        <v>70</v>
      </c>
      <c r="J12" s="142" t="s">
        <v>70</v>
      </c>
      <c r="K12" s="142" t="s">
        <v>70</v>
      </c>
      <c r="L12" s="142" t="s">
        <v>70</v>
      </c>
      <c r="M12" s="447" t="s">
        <v>70</v>
      </c>
      <c r="N12" s="248" t="s">
        <v>70</v>
      </c>
      <c r="O12" s="153" t="s">
        <v>70</v>
      </c>
      <c r="R12" s="136"/>
      <c r="S12" s="137"/>
      <c r="T12" s="137"/>
      <c r="U12" s="137"/>
      <c r="V12" s="139"/>
      <c r="W12" s="137"/>
      <c r="X12" s="137"/>
      <c r="Y12" s="140"/>
    </row>
    <row r="13" spans="1:33">
      <c r="A13" s="126" t="s">
        <v>269</v>
      </c>
      <c r="B13" s="148" t="str">
        <f>IF(A13&lt;&gt;"",O13&amp;"-"&amp;S13&amp;U13&amp;"-"&amp;G13&amp;"-"&amp;IF(ISNUMBER(V13),"D"&amp;ROUND(V13,0)&amp;"-","")&amp;IF(ISNUMBER(X13),"H"&amp;ROUND(X13,0)&amp;"W"&amp;ROUND(Y13,0)&amp;"-","")&amp;"T"&amp;ROUND(W13,0),"")</f>
        <v>ERDC01-CC-HPC-D30-T10</v>
      </c>
      <c r="C13" s="149">
        <v>12</v>
      </c>
      <c r="D13" s="150">
        <f>IF(ISNUMBER(C13),C13-(COUNTIF(Data!AH:AH,Targets!B13)+COUNTIF(Data!AI:AI,Targets!B13)),"")</f>
        <v>10</v>
      </c>
      <c r="E13" s="150" t="s">
        <v>132</v>
      </c>
      <c r="F13" s="150" t="s">
        <v>133</v>
      </c>
      <c r="G13" s="150" t="s">
        <v>270</v>
      </c>
      <c r="H13" s="150" t="s">
        <v>271</v>
      </c>
      <c r="I13" s="453">
        <v>101.6</v>
      </c>
      <c r="J13" s="149">
        <v>304.8</v>
      </c>
      <c r="K13" s="149" t="str">
        <f>IF($H13="Cylinder (C)","N/A"," ")</f>
        <v>N/A</v>
      </c>
      <c r="L13" s="149" t="str">
        <f>IF($H13="Cylinder (C)","N/A"," ")</f>
        <v>N/A</v>
      </c>
      <c r="M13" s="448"/>
      <c r="N13" s="151" t="s">
        <v>70</v>
      </c>
      <c r="O13" s="152" t="s">
        <v>272</v>
      </c>
      <c r="R13" s="107" t="str">
        <f t="shared" ref="R13:R18" si="0">IF(A13&lt;&gt;"",A13,"")</f>
        <v>ERDC001</v>
      </c>
      <c r="S13" s="106" t="str">
        <f t="shared" ref="S13:S18" si="1">IF(A13&lt;&gt;"",LEFT(E13,1),"")</f>
        <v>C</v>
      </c>
      <c r="T13" s="106" t="str">
        <f t="shared" ref="T13:T18" si="2">IF(A13&lt;&gt;"",LEFT(F13,1),"")</f>
        <v>H</v>
      </c>
      <c r="U13" s="106" t="str">
        <f>IF(A13&lt;&gt;"",LEFT(H13,1),"")</f>
        <v>C</v>
      </c>
      <c r="V13" s="123">
        <f>IF(ISNUMBER(J13),J13/10,"")</f>
        <v>30.48</v>
      </c>
      <c r="W13" s="123">
        <f>IF(ISNUMBER(I13),I13/10,"")</f>
        <v>10.16</v>
      </c>
      <c r="X13" s="106" t="str">
        <f t="shared" ref="X13:X65" si="3">IF(ISNUMBER(L13),L13/10,"")</f>
        <v/>
      </c>
      <c r="Y13" s="132" t="str">
        <f t="shared" ref="Y13:Y65" si="4">IF(ISNUMBER(K13),K13/10,"")</f>
        <v/>
      </c>
    </row>
    <row r="14" spans="1:33">
      <c r="A14" s="126" t="s">
        <v>269</v>
      </c>
      <c r="B14" s="148" t="str">
        <f>IF(A14&lt;&gt;"",O14&amp;"-"&amp;S14&amp;U14&amp;"-"&amp;G14&amp;"-"&amp;IF(ISNUMBER(V14),"D"&amp;ROUND(V14,1)&amp;"-","")&amp;IF(ISNUMBER(X14),"H"&amp;ROUND(X14,1)&amp;"W"&amp;ROUND(Y14,1)&amp;"-","")&amp;"T"&amp;ROUND(W14,1),"")</f>
        <v>ERDC01-CC-HPC-D30.5-T2.5</v>
      </c>
      <c r="C14" s="127">
        <v>10</v>
      </c>
      <c r="D14" s="150">
        <f>IF(ISNUMBER(C14),C14-(COUNTIF(Data!AH:AH,Targets!B14)+COUNTIF(Data!AI:AI,Targets!B14)),"")</f>
        <v>8</v>
      </c>
      <c r="E14" s="128" t="s">
        <v>132</v>
      </c>
      <c r="F14" s="150" t="s">
        <v>133</v>
      </c>
      <c r="G14" s="128" t="s">
        <v>270</v>
      </c>
      <c r="H14" s="150" t="s">
        <v>271</v>
      </c>
      <c r="I14" s="454">
        <v>25.4</v>
      </c>
      <c r="J14" s="127">
        <v>304.8</v>
      </c>
      <c r="K14" s="149" t="str">
        <f t="shared" ref="K14:L65" si="5">IF($H14="Cylinder (C)","N/A"," ")</f>
        <v>N/A</v>
      </c>
      <c r="L14" s="149" t="str">
        <f t="shared" si="5"/>
        <v>N/A</v>
      </c>
      <c r="M14" s="449">
        <v>4.4817600000000004</v>
      </c>
      <c r="N14" s="129" t="s">
        <v>70</v>
      </c>
      <c r="O14" s="130" t="s">
        <v>272</v>
      </c>
      <c r="R14" s="107" t="str">
        <f t="shared" si="0"/>
        <v>ERDC001</v>
      </c>
      <c r="S14" s="106" t="str">
        <f t="shared" si="1"/>
        <v>C</v>
      </c>
      <c r="T14" s="106" t="str">
        <f t="shared" si="2"/>
        <v>H</v>
      </c>
      <c r="U14" s="106" t="str">
        <f t="shared" ref="U14:U65" si="6">IF(A14&lt;&gt;"",LEFT(H14,1),"")</f>
        <v>C</v>
      </c>
      <c r="V14" s="123">
        <f t="shared" ref="V14:V65" si="7">IF(ISNUMBER(J14),J14/10,"")</f>
        <v>30.48</v>
      </c>
      <c r="W14" s="123">
        <f t="shared" ref="W14:W65" si="8">IF(ISNUMBER(I14),I14/10,"")</f>
        <v>2.54</v>
      </c>
      <c r="X14" s="106" t="str">
        <f t="shared" si="3"/>
        <v/>
      </c>
      <c r="Y14" s="132" t="str">
        <f t="shared" si="4"/>
        <v/>
      </c>
    </row>
    <row r="15" spans="1:33">
      <c r="A15" s="126" t="s">
        <v>269</v>
      </c>
      <c r="B15" s="148" t="str">
        <f>IF(A15&lt;&gt;"",O15&amp;"-"&amp;S15&amp;U15&amp;"-"&amp;G15&amp;"-"&amp;IF(ISNUMBER(V15),"D"&amp;ROUND(V15,1)&amp;"-","")&amp;IF(ISNUMBER(X15),"H"&amp;ROUND(X15,1)&amp;"W"&amp;ROUND(Y15,1)&amp;"-","")&amp;"T"&amp;ROUND(W15,1),"")</f>
        <v>ERDC01-CC-HPC-D30.5-T5.1</v>
      </c>
      <c r="C15" s="127">
        <v>10</v>
      </c>
      <c r="D15" s="150">
        <f>IF(ISNUMBER(C15),C15-(COUNTIF(Data!AH:AH,Targets!B15)+COUNTIF(Data!AI:AI,Targets!B15)),"")</f>
        <v>7</v>
      </c>
      <c r="E15" s="128" t="s">
        <v>132</v>
      </c>
      <c r="F15" s="150" t="s">
        <v>133</v>
      </c>
      <c r="G15" s="128" t="s">
        <v>270</v>
      </c>
      <c r="H15" s="150" t="s">
        <v>271</v>
      </c>
      <c r="I15" s="454">
        <v>50.8</v>
      </c>
      <c r="J15" s="127">
        <v>304.8</v>
      </c>
      <c r="K15" s="149" t="str">
        <f t="shared" si="5"/>
        <v>N/A</v>
      </c>
      <c r="L15" s="149" t="str">
        <f t="shared" si="5"/>
        <v>N/A</v>
      </c>
      <c r="M15" s="449">
        <v>8.4320000000000004</v>
      </c>
      <c r="N15" s="129" t="s">
        <v>70</v>
      </c>
      <c r="O15" s="130" t="s">
        <v>272</v>
      </c>
      <c r="R15" s="107" t="str">
        <f t="shared" si="0"/>
        <v>ERDC001</v>
      </c>
      <c r="S15" s="106" t="str">
        <f t="shared" si="1"/>
        <v>C</v>
      </c>
      <c r="T15" s="106" t="str">
        <f t="shared" si="2"/>
        <v>H</v>
      </c>
      <c r="U15" s="106" t="str">
        <f t="shared" si="6"/>
        <v>C</v>
      </c>
      <c r="V15" s="123">
        <f t="shared" si="7"/>
        <v>30.48</v>
      </c>
      <c r="W15" s="123">
        <f t="shared" si="8"/>
        <v>5.08</v>
      </c>
      <c r="X15" s="106" t="str">
        <f t="shared" si="3"/>
        <v/>
      </c>
      <c r="Y15" s="132" t="str">
        <f t="shared" si="4"/>
        <v/>
      </c>
    </row>
    <row r="16" spans="1:33">
      <c r="A16" s="126" t="s">
        <v>269</v>
      </c>
      <c r="B16" s="148" t="str">
        <f>IF(A16&lt;&gt;"",O16&amp;"-"&amp;S16&amp;U16&amp;"-"&amp;G16&amp;"-"&amp;IF(ISNUMBER(V16),"D"&amp;ROUND(V16,1)&amp;"-","")&amp;IF(ISNUMBER(X16),"H"&amp;ROUND(X16,1)&amp;"W"&amp;ROUND(Y16,1)&amp;"-","")&amp;"T"&amp;ROUND(W16,1),"")</f>
        <v>ERDC01-CC-HPC-D30.5-T7.6</v>
      </c>
      <c r="C16" s="127">
        <v>10</v>
      </c>
      <c r="D16" s="150">
        <f>IF(ISNUMBER(C16),C16-(COUNTIF(Data!AH:AH,Targets!B16)+COUNTIF(Data!AI:AI,Targets!B16)),"")</f>
        <v>7</v>
      </c>
      <c r="E16" s="128" t="s">
        <v>132</v>
      </c>
      <c r="F16" s="150" t="s">
        <v>133</v>
      </c>
      <c r="G16" s="128" t="s">
        <v>270</v>
      </c>
      <c r="H16" s="150" t="s">
        <v>271</v>
      </c>
      <c r="I16" s="454">
        <v>76.2</v>
      </c>
      <c r="J16" s="127">
        <v>304.8</v>
      </c>
      <c r="K16" s="149" t="str">
        <f t="shared" si="5"/>
        <v>N/A</v>
      </c>
      <c r="L16" s="149" t="str">
        <f t="shared" si="5"/>
        <v>N/A</v>
      </c>
      <c r="M16" s="449">
        <v>13.342000000000001</v>
      </c>
      <c r="N16" s="129" t="s">
        <v>70</v>
      </c>
      <c r="O16" s="130" t="s">
        <v>272</v>
      </c>
      <c r="R16" s="107" t="str">
        <f t="shared" si="0"/>
        <v>ERDC001</v>
      </c>
      <c r="S16" s="106" t="str">
        <f t="shared" si="1"/>
        <v>C</v>
      </c>
      <c r="T16" s="106" t="str">
        <f t="shared" si="2"/>
        <v>H</v>
      </c>
      <c r="U16" s="106" t="str">
        <f t="shared" si="6"/>
        <v>C</v>
      </c>
      <c r="V16" s="123">
        <f t="shared" si="7"/>
        <v>30.48</v>
      </c>
      <c r="W16" s="123">
        <f t="shared" si="8"/>
        <v>7.62</v>
      </c>
      <c r="X16" s="106" t="str">
        <f t="shared" si="3"/>
        <v/>
      </c>
      <c r="Y16" s="132" t="str">
        <f t="shared" si="4"/>
        <v/>
      </c>
    </row>
    <row r="17" spans="1:29">
      <c r="A17" s="126" t="s">
        <v>269</v>
      </c>
      <c r="B17" s="148" t="str">
        <f>IF(A17&lt;&gt;"",O17&amp;"-"&amp;S17&amp;U17&amp;"-"&amp;G17&amp;"-"&amp;IF(ISNUMBER(V17),"D"&amp;ROUND(V17,1)&amp;"-","")&amp;IF(ISNUMBER(X17),"H"&amp;ROUND(X17,1)&amp;"W"&amp;ROUND(Y17,1)&amp;"-","")&amp;"T"&amp;ROUND(W17,1),"")</f>
        <v>ERDC01-CC-HPC-D30.5-T12.7</v>
      </c>
      <c r="C17" s="127">
        <v>7</v>
      </c>
      <c r="D17" s="150">
        <f>IF(ISNUMBER(C17),C17-(COUNTIF(Data!AH:AH,Targets!B17)+COUNTIF(Data!AI:AI,Targets!B17)),"")</f>
        <v>5</v>
      </c>
      <c r="E17" s="128" t="s">
        <v>132</v>
      </c>
      <c r="F17" s="150" t="s">
        <v>133</v>
      </c>
      <c r="G17" s="128" t="s">
        <v>270</v>
      </c>
      <c r="H17" s="150" t="s">
        <v>271</v>
      </c>
      <c r="I17" s="454">
        <v>127</v>
      </c>
      <c r="J17" s="127">
        <v>304.8</v>
      </c>
      <c r="K17" s="149" t="str">
        <f t="shared" si="5"/>
        <v>N/A</v>
      </c>
      <c r="L17" s="149" t="str">
        <f t="shared" si="5"/>
        <v>N/A</v>
      </c>
      <c r="M17" s="449">
        <v>18.579999999999998</v>
      </c>
      <c r="N17" s="129" t="s">
        <v>70</v>
      </c>
      <c r="O17" s="130" t="s">
        <v>272</v>
      </c>
      <c r="R17" s="107" t="str">
        <f t="shared" si="0"/>
        <v>ERDC001</v>
      </c>
      <c r="S17" s="106" t="str">
        <f t="shared" si="1"/>
        <v>C</v>
      </c>
      <c r="T17" s="106" t="str">
        <f t="shared" si="2"/>
        <v>H</v>
      </c>
      <c r="U17" s="106" t="str">
        <f t="shared" si="6"/>
        <v>C</v>
      </c>
      <c r="V17" s="123">
        <f t="shared" si="7"/>
        <v>30.48</v>
      </c>
      <c r="W17" s="123">
        <f t="shared" si="8"/>
        <v>12.7</v>
      </c>
      <c r="X17" s="106" t="str">
        <f t="shared" si="3"/>
        <v/>
      </c>
      <c r="Y17" s="132" t="str">
        <f t="shared" si="4"/>
        <v/>
      </c>
    </row>
    <row r="18" spans="1:29">
      <c r="A18" s="126" t="s">
        <v>269</v>
      </c>
      <c r="B18" s="148" t="str">
        <f>IF(A18&lt;&gt;"",O18&amp;"-"&amp;S18&amp;U18&amp;"-"&amp;G18&amp;"-"&amp;IF(ISNUMBER(V18),"D"&amp;ROUND(V18,1)&amp;"-","")&amp;IF(ISNUMBER(X18),"H"&amp;ROUND(X18,1)&amp;"W"&amp;ROUND(Y18,1)&amp;"-","")&amp;"T"&amp;ROUND(W18,1),"")</f>
        <v>ERDC01-CC-HPC-D30.5-T15.2</v>
      </c>
      <c r="C18" s="127">
        <v>1</v>
      </c>
      <c r="D18" s="150">
        <f>IF(ISNUMBER(C18),C18-(COUNTIF(Data!AH:AH,Targets!B18)+COUNTIF(Data!AI:AI,Targets!B18)),"")</f>
        <v>0</v>
      </c>
      <c r="E18" s="128" t="s">
        <v>132</v>
      </c>
      <c r="F18" s="150" t="s">
        <v>133</v>
      </c>
      <c r="G18" s="128" t="s">
        <v>270</v>
      </c>
      <c r="H18" s="150" t="s">
        <v>271</v>
      </c>
      <c r="I18" s="454">
        <v>152.4</v>
      </c>
      <c r="J18" s="127">
        <v>304.8</v>
      </c>
      <c r="K18" s="149" t="str">
        <f t="shared" si="5"/>
        <v>N/A</v>
      </c>
      <c r="L18" s="149" t="str">
        <f t="shared" si="5"/>
        <v>N/A</v>
      </c>
      <c r="M18" s="449">
        <v>23.478000000000002</v>
      </c>
      <c r="N18" s="129" t="s">
        <v>70</v>
      </c>
      <c r="O18" s="130" t="s">
        <v>272</v>
      </c>
      <c r="R18" s="107" t="str">
        <f t="shared" si="0"/>
        <v>ERDC001</v>
      </c>
      <c r="S18" s="106" t="str">
        <f t="shared" si="1"/>
        <v>C</v>
      </c>
      <c r="T18" s="106" t="str">
        <f t="shared" si="2"/>
        <v>H</v>
      </c>
      <c r="U18" s="106" t="str">
        <f t="shared" si="6"/>
        <v>C</v>
      </c>
      <c r="V18" s="123">
        <f t="shared" si="7"/>
        <v>30.48</v>
      </c>
      <c r="W18" s="123">
        <f t="shared" si="8"/>
        <v>15.24</v>
      </c>
      <c r="X18" s="106" t="str">
        <f t="shared" si="3"/>
        <v/>
      </c>
      <c r="Y18" s="132" t="str">
        <f t="shared" si="4"/>
        <v/>
      </c>
    </row>
    <row r="19" spans="1:29" s="571" customFormat="1">
      <c r="A19" s="565"/>
      <c r="B19" s="166"/>
      <c r="C19" s="566"/>
      <c r="D19" s="173" t="str">
        <f>IF(ISNUMBER(C19),C19-(COUNTIF(Data!AH:AH,Targets!B19)+COUNTIF(Data!AI:AI,Targets!B19)),"")</f>
        <v/>
      </c>
      <c r="E19" s="482"/>
      <c r="F19" s="482"/>
      <c r="G19" s="482"/>
      <c r="H19" s="482"/>
      <c r="I19" s="567"/>
      <c r="J19" s="566"/>
      <c r="K19" s="186" t="str">
        <f t="shared" si="5"/>
        <v xml:space="preserve"> </v>
      </c>
      <c r="L19" s="186" t="str">
        <f t="shared" si="5"/>
        <v xml:space="preserve"> </v>
      </c>
      <c r="M19" s="568"/>
      <c r="N19" s="569"/>
      <c r="O19" s="570"/>
      <c r="R19" s="565" t="str">
        <f t="shared" ref="R19:R65" si="9">IF(A19&lt;&gt;"",A19,"")</f>
        <v/>
      </c>
      <c r="S19" s="482" t="str">
        <f t="shared" ref="S19:S65" si="10">IF(A19&lt;&gt;"",LEFT(E19,1),"")</f>
        <v/>
      </c>
      <c r="T19" s="482" t="str">
        <f t="shared" ref="T19:T65" si="11">IF(A19&lt;&gt;"",LEFT(F19,1),"")</f>
        <v/>
      </c>
      <c r="U19" s="482" t="str">
        <f t="shared" si="6"/>
        <v/>
      </c>
      <c r="V19" s="478" t="str">
        <f t="shared" si="7"/>
        <v/>
      </c>
      <c r="W19" s="478" t="str">
        <f t="shared" si="8"/>
        <v/>
      </c>
      <c r="X19" s="482" t="str">
        <f t="shared" si="3"/>
        <v/>
      </c>
      <c r="Y19" s="572" t="str">
        <f t="shared" si="4"/>
        <v/>
      </c>
    </row>
    <row r="20" spans="1:29">
      <c r="A20" s="126" t="s">
        <v>273</v>
      </c>
      <c r="B20" s="148" t="str">
        <f>IF(A20&lt;&gt;"",O20&amp;"-"&amp;S20&amp;U20&amp;"-"&amp;G20&amp;"-"&amp;IF(ISNUMBER(V20),"D"&amp;ROUND(V20,1)&amp;"-","")&amp;IF(ISNUMBER(X20),"H"&amp;ROUND(X20,1)&amp;"W"&amp;ROUND(Y20,1)&amp;"-","")&amp;"T"&amp;ROUND(W20,1),"")</f>
        <v>NASAL01-CP-ACC4-H7.7W15.3-T0.4</v>
      </c>
      <c r="C20" s="127">
        <v>36</v>
      </c>
      <c r="D20" s="150">
        <f>IF(ISNUMBER(C20),C20-(COUNTIF(Data!AH:AH,Targets!B20)+COUNTIF(Data!AI:AI,Targets!B20)),"")</f>
        <v>33</v>
      </c>
      <c r="E20" s="128" t="s">
        <v>274</v>
      </c>
      <c r="F20" s="128" t="s">
        <v>159</v>
      </c>
      <c r="G20" s="128" t="s">
        <v>275</v>
      </c>
      <c r="H20" s="128" t="s">
        <v>276</v>
      </c>
      <c r="I20" s="454">
        <v>4</v>
      </c>
      <c r="J20" s="127" t="str">
        <f t="shared" ref="J20:J65" si="12">IF($H20="Plate (P)","N/A"," ")</f>
        <v>N/A</v>
      </c>
      <c r="K20" s="149">
        <v>153</v>
      </c>
      <c r="L20" s="149">
        <v>77</v>
      </c>
      <c r="M20" s="449">
        <v>0.50439000000000001</v>
      </c>
      <c r="N20" s="129" t="s">
        <v>277</v>
      </c>
      <c r="O20" s="130" t="s">
        <v>278</v>
      </c>
      <c r="R20" s="107" t="str">
        <f t="shared" si="9"/>
        <v>NASAL001</v>
      </c>
      <c r="S20" s="106" t="str">
        <f t="shared" si="10"/>
        <v>C</v>
      </c>
      <c r="T20" s="106" t="str">
        <f t="shared" si="11"/>
        <v>A</v>
      </c>
      <c r="U20" s="106" t="str">
        <f t="shared" si="6"/>
        <v>P</v>
      </c>
      <c r="V20" s="123" t="str">
        <f t="shared" si="7"/>
        <v/>
      </c>
      <c r="W20" s="123">
        <f t="shared" si="8"/>
        <v>0.4</v>
      </c>
      <c r="X20" s="106">
        <f t="shared" si="3"/>
        <v>7.7</v>
      </c>
      <c r="Y20" s="132">
        <f t="shared" si="4"/>
        <v>15.3</v>
      </c>
    </row>
    <row r="21" spans="1:29">
      <c r="A21" s="126" t="s">
        <v>273</v>
      </c>
      <c r="B21" s="148" t="str">
        <f>IF(A21&lt;&gt;"",O21&amp;"-"&amp;S21&amp;U21&amp;"-"&amp;G21&amp;"-"&amp;IF(ISNUMBER(V21),"D"&amp;ROUND(V21,1)&amp;"-","")&amp;IF(ISNUMBER(X21),"H"&amp;ROUND(X21,1)&amp;"W"&amp;ROUND(Y21,1)&amp;"-","")&amp;"T"&amp;ROUND(W21,1),"")</f>
        <v>NASAL02-CC-ACC6-D5.6-T0.7</v>
      </c>
      <c r="C21" s="127">
        <v>23</v>
      </c>
      <c r="D21" s="150">
        <f>IF(ISNUMBER(C21),C21-(COUNTIF(Data!AH:AH,Targets!B21)+COUNTIF(Data!AI:AI,Targets!B21)),"")</f>
        <v>23</v>
      </c>
      <c r="E21" s="128" t="s">
        <v>274</v>
      </c>
      <c r="F21" s="150" t="s">
        <v>159</v>
      </c>
      <c r="G21" s="128" t="s">
        <v>279</v>
      </c>
      <c r="H21" s="150" t="s">
        <v>271</v>
      </c>
      <c r="I21" s="454">
        <v>7.2</v>
      </c>
      <c r="J21" s="127">
        <v>55.6</v>
      </c>
      <c r="K21" s="149" t="str">
        <f t="shared" si="5"/>
        <v>N/A</v>
      </c>
      <c r="L21" s="149" t="str">
        <f t="shared" si="5"/>
        <v>N/A</v>
      </c>
      <c r="M21" s="449">
        <v>2.7099999999999999E-2</v>
      </c>
      <c r="N21" s="129" t="s">
        <v>70</v>
      </c>
      <c r="O21" s="130" t="s">
        <v>280</v>
      </c>
      <c r="R21" s="107" t="str">
        <f t="shared" ref="R21:R22" si="13">IF(A21&lt;&gt;"",A21,"")</f>
        <v>NASAL001</v>
      </c>
      <c r="S21" s="106" t="str">
        <f t="shared" ref="S21:S22" si="14">IF(A21&lt;&gt;"",LEFT(E21,1),"")</f>
        <v>C</v>
      </c>
      <c r="T21" s="106" t="str">
        <f t="shared" ref="T21:T22" si="15">IF(A21&lt;&gt;"",LEFT(F21,1),"")</f>
        <v>A</v>
      </c>
      <c r="U21" s="106" t="str">
        <f t="shared" ref="U21:U22" si="16">IF(A21&lt;&gt;"",LEFT(H21,1),"")</f>
        <v>C</v>
      </c>
      <c r="V21" s="123">
        <f t="shared" ref="V21:V22" si="17">IF(ISNUMBER(J21),J21/10,"")</f>
        <v>5.5600000000000005</v>
      </c>
      <c r="W21" s="123">
        <f t="shared" ref="W21:W22" si="18">IF(ISNUMBER(I21),I21/10,"")</f>
        <v>0.72</v>
      </c>
      <c r="X21" s="106" t="str">
        <f t="shared" ref="X21:X22" si="19">IF(ISNUMBER(L21),L21/10,"")</f>
        <v/>
      </c>
      <c r="Y21" s="132" t="str">
        <f t="shared" ref="Y21:Y22" si="20">IF(ISNUMBER(K21),K21/10,"")</f>
        <v/>
      </c>
    </row>
    <row r="22" spans="1:29" s="571" customFormat="1">
      <c r="A22" s="126" t="s">
        <v>273</v>
      </c>
      <c r="B22" s="148" t="str">
        <f>IF(A22&lt;&gt;"",O22&amp;"-"&amp;S22&amp;U22&amp;"-"&amp;G22&amp;"-"&amp;IF(ISNUMBER(V22),"D"&amp;ROUND(V22,1)&amp;"-","")&amp;IF(ISNUMBER(X22),"H"&amp;ROUND(X22,1)&amp;"W"&amp;ROUND(Y22,1)&amp;"-","")&amp;"T"&amp;ROUND(W22,1),"")</f>
        <v>NASAL03-CC-ACC6-D5.6-T0.8</v>
      </c>
      <c r="C22" s="127">
        <v>20</v>
      </c>
      <c r="D22" s="150">
        <f>IF(ISNUMBER(C22),C22-(COUNTIF(Data!AH:AH,Targets!B22)+COUNTIF(Data!AI:AI,Targets!B22)),"")</f>
        <v>20</v>
      </c>
      <c r="E22" s="128" t="s">
        <v>274</v>
      </c>
      <c r="F22" s="128" t="s">
        <v>159</v>
      </c>
      <c r="G22" s="128" t="s">
        <v>279</v>
      </c>
      <c r="H22" s="128" t="s">
        <v>271</v>
      </c>
      <c r="I22" s="454">
        <v>7.9</v>
      </c>
      <c r="J22" s="127">
        <v>55.6</v>
      </c>
      <c r="K22" s="149" t="str">
        <f t="shared" si="5"/>
        <v>N/A</v>
      </c>
      <c r="L22" s="149" t="str">
        <f t="shared" si="5"/>
        <v>N/A</v>
      </c>
      <c r="M22" s="449">
        <v>3.2000000000000001E-2</v>
      </c>
      <c r="N22" s="129" t="s">
        <v>70</v>
      </c>
      <c r="O22" s="130" t="s">
        <v>281</v>
      </c>
      <c r="R22" s="107" t="str">
        <f t="shared" si="13"/>
        <v>NASAL001</v>
      </c>
      <c r="S22" s="106" t="str">
        <f t="shared" si="14"/>
        <v>C</v>
      </c>
      <c r="T22" s="106" t="str">
        <f t="shared" si="15"/>
        <v>A</v>
      </c>
      <c r="U22" s="106" t="str">
        <f t="shared" si="16"/>
        <v>C</v>
      </c>
      <c r="V22" s="123">
        <f t="shared" si="17"/>
        <v>5.5600000000000005</v>
      </c>
      <c r="W22" s="123">
        <f t="shared" si="18"/>
        <v>0.79</v>
      </c>
      <c r="X22" s="106" t="str">
        <f t="shared" si="19"/>
        <v/>
      </c>
      <c r="Y22" s="132" t="str">
        <f t="shared" si="20"/>
        <v/>
      </c>
    </row>
    <row r="23" spans="1:29" s="571" customFormat="1">
      <c r="A23" s="565"/>
      <c r="B23" s="166"/>
      <c r="C23" s="566"/>
      <c r="D23" s="173"/>
      <c r="E23" s="482"/>
      <c r="F23" s="482"/>
      <c r="G23" s="482"/>
      <c r="H23" s="482"/>
      <c r="I23" s="567"/>
      <c r="J23" s="566"/>
      <c r="K23" s="186"/>
      <c r="L23" s="186"/>
      <c r="M23" s="568"/>
      <c r="N23" s="569"/>
      <c r="O23" s="570"/>
      <c r="R23" s="565"/>
      <c r="S23" s="482"/>
      <c r="T23" s="482"/>
      <c r="U23" s="482"/>
      <c r="V23" s="478"/>
      <c r="W23" s="478"/>
      <c r="X23" s="482"/>
      <c r="Y23" s="572"/>
    </row>
    <row r="24" spans="1:29">
      <c r="A24" s="126" t="s">
        <v>82</v>
      </c>
      <c r="B24" s="148" t="str">
        <f>IF(A24&lt;&gt;"",O24&amp;"-"&amp;S24&amp;U24&amp;"-"&amp;G24&amp;"-"&amp;IF(ISNUMBER(V24),"D"&amp;ROUND(V24,1)&amp;"-","")&amp;IF(ISNUMBER(X24),"H"&amp;ROUND(X24,1)&amp;"W"&amp;ROUND(Y24,1)&amp;"-","")&amp;"T"&amp;ROUND(W24,1),"")</f>
        <v>HVIL01-PP-HDPE-H30.5W30.5-T0.6</v>
      </c>
      <c r="C24" s="127">
        <v>16</v>
      </c>
      <c r="D24" s="150">
        <f>IF(ISNUMBER(C24),C24-(COUNTIF(Data!AH:AH,Targets!B24)+COUNTIF(Data!AI:AI,Targets!B24)),"")</f>
        <v>-15</v>
      </c>
      <c r="E24" s="128" t="s">
        <v>83</v>
      </c>
      <c r="F24" s="128" t="s">
        <v>100</v>
      </c>
      <c r="G24" s="128" t="s">
        <v>215</v>
      </c>
      <c r="H24" s="128" t="s">
        <v>276</v>
      </c>
      <c r="I24" s="454">
        <v>6.35</v>
      </c>
      <c r="J24" s="127" t="str">
        <f t="shared" si="12"/>
        <v>N/A</v>
      </c>
      <c r="K24" s="149">
        <v>304.8</v>
      </c>
      <c r="L24" s="149">
        <v>304.8</v>
      </c>
      <c r="M24" s="449"/>
      <c r="N24" s="129" t="s">
        <v>70</v>
      </c>
      <c r="O24" s="130" t="s">
        <v>282</v>
      </c>
      <c r="R24" s="107" t="str">
        <f t="shared" si="9"/>
        <v>HVIL001</v>
      </c>
      <c r="S24" s="106" t="str">
        <f t="shared" si="10"/>
        <v>P</v>
      </c>
      <c r="T24" s="106" t="str">
        <f t="shared" si="11"/>
        <v>H</v>
      </c>
      <c r="U24" s="106" t="str">
        <f t="shared" si="6"/>
        <v>P</v>
      </c>
      <c r="V24" s="123" t="str">
        <f t="shared" si="7"/>
        <v/>
      </c>
      <c r="W24" s="123">
        <f t="shared" si="8"/>
        <v>0.63500000000000001</v>
      </c>
      <c r="X24" s="106">
        <f t="shared" si="3"/>
        <v>30.48</v>
      </c>
      <c r="Y24" s="132">
        <f t="shared" si="4"/>
        <v>30.48</v>
      </c>
    </row>
    <row r="25" spans="1:29">
      <c r="A25" s="126" t="s">
        <v>82</v>
      </c>
      <c r="B25" s="148" t="str">
        <f>IF(A25&lt;&gt;"",O25&amp;"-"&amp;S25&amp;U25&amp;"-"&amp;G25&amp;"-"&amp;IF(ISNUMBER(V25),"D"&amp;ROUND(V25,1)&amp;"-","")&amp;IF(ISNUMBER(X25),"H"&amp;ROUND(X25,1)&amp;"W"&amp;ROUND(Y25,1)&amp;"-","")&amp;"T"&amp;ROUND(W25,1),"")</f>
        <v>HVIL01-PP-UHMWPE-H30.5W30.5-T0.6</v>
      </c>
      <c r="C25" s="127">
        <v>16</v>
      </c>
      <c r="D25" s="150">
        <f>IF(ISNUMBER(C25),C25-(COUNTIF(Data!AH:AH,Targets!B25)+COUNTIF(Data!AI:AI,Targets!B25)),"")</f>
        <v>-10</v>
      </c>
      <c r="E25" s="128" t="s">
        <v>83</v>
      </c>
      <c r="F25" s="128" t="s">
        <v>108</v>
      </c>
      <c r="G25" s="128" t="s">
        <v>213</v>
      </c>
      <c r="H25" s="128" t="s">
        <v>276</v>
      </c>
      <c r="I25" s="454">
        <v>6.35</v>
      </c>
      <c r="J25" s="127" t="str">
        <f t="shared" si="12"/>
        <v>N/A</v>
      </c>
      <c r="K25" s="149">
        <v>304.8</v>
      </c>
      <c r="L25" s="149">
        <v>304.8</v>
      </c>
      <c r="M25" s="449"/>
      <c r="N25" s="129" t="s">
        <v>70</v>
      </c>
      <c r="O25" s="130" t="s">
        <v>282</v>
      </c>
      <c r="R25" s="107" t="str">
        <f t="shared" si="9"/>
        <v>HVIL001</v>
      </c>
      <c r="S25" s="106" t="str">
        <f t="shared" si="10"/>
        <v>P</v>
      </c>
      <c r="T25" s="106" t="str">
        <f t="shared" si="11"/>
        <v>U</v>
      </c>
      <c r="U25" s="106" t="str">
        <f t="shared" si="6"/>
        <v>P</v>
      </c>
      <c r="V25" s="123" t="str">
        <f t="shared" si="7"/>
        <v/>
      </c>
      <c r="W25" s="123">
        <f t="shared" si="8"/>
        <v>0.63500000000000001</v>
      </c>
      <c r="X25" s="106">
        <f t="shared" si="3"/>
        <v>30.48</v>
      </c>
      <c r="Y25" s="132">
        <f t="shared" si="4"/>
        <v>30.48</v>
      </c>
    </row>
    <row r="26" spans="1:29">
      <c r="A26" s="126" t="s">
        <v>137</v>
      </c>
      <c r="B26" s="148" t="str">
        <f>IF(A26&lt;&gt;"",O26&amp;"-"&amp;S26&amp;U26&amp;"-"&amp;G26&amp;"-"&amp;IF(ISNUMBER(V26),"D"&amp;ROUND(V26,1)&amp;"-","")&amp;IF(ISNUMBER(X26),"H"&amp;ROUND(X26,1)&amp;"W"&amp;ROUND(Y26,1)&amp;"-","")&amp;"T"&amp;ROUND(W26,1),"")</f>
        <v>HVIL03-PP-PMMA-H30.5W30.5-T0.2</v>
      </c>
      <c r="C26" s="111">
        <v>10</v>
      </c>
      <c r="D26" s="173">
        <f>IF(ISNUMBER(C26),C26-(COUNTIF(Data!AH:AH,Targets!B26)+COUNTIF(Data!AI:AI,Targets!B26)),"")</f>
        <v>3</v>
      </c>
      <c r="E26" s="106" t="s">
        <v>83</v>
      </c>
      <c r="F26" s="106" t="s">
        <v>139</v>
      </c>
      <c r="G26" s="106" t="s">
        <v>283</v>
      </c>
      <c r="H26" s="106" t="s">
        <v>276</v>
      </c>
      <c r="I26" s="455">
        <v>1.5874999999999999</v>
      </c>
      <c r="J26" s="111" t="str">
        <f t="shared" si="12"/>
        <v>N/A</v>
      </c>
      <c r="K26" s="186">
        <v>304.8</v>
      </c>
      <c r="L26" s="186">
        <v>304.8</v>
      </c>
      <c r="M26" s="450">
        <v>0.17883499999999999</v>
      </c>
      <c r="N26" s="118" t="s">
        <v>70</v>
      </c>
      <c r="O26" s="124" t="s">
        <v>284</v>
      </c>
      <c r="R26" s="107" t="str">
        <f t="shared" si="9"/>
        <v>HVIL003</v>
      </c>
      <c r="S26" s="106" t="str">
        <f t="shared" si="10"/>
        <v>P</v>
      </c>
      <c r="T26" s="106" t="str">
        <f t="shared" si="11"/>
        <v>P</v>
      </c>
      <c r="U26" s="106" t="str">
        <f t="shared" si="6"/>
        <v>P</v>
      </c>
      <c r="V26" s="123" t="str">
        <f t="shared" si="7"/>
        <v/>
      </c>
      <c r="W26" s="123">
        <f t="shared" si="8"/>
        <v>0.15875</v>
      </c>
      <c r="X26" s="106">
        <f t="shared" si="3"/>
        <v>30.48</v>
      </c>
      <c r="Y26" s="132">
        <f t="shared" si="4"/>
        <v>30.48</v>
      </c>
    </row>
    <row r="27" spans="1:29">
      <c r="A27" s="126" t="s">
        <v>137</v>
      </c>
      <c r="B27" s="148" t="str">
        <f>IF(A27&lt;&gt;"",O27&amp;"-"&amp;S27&amp;U27&amp;"-"&amp;G27&amp;"-"&amp;IF(ISNUMBER(V27),"D"&amp;ROUND(V27,1)&amp;"-","")&amp;IF(ISNUMBER(X27),"H"&amp;ROUND(X27,1)&amp;"W"&amp;ROUND(Y27,1)&amp;"-","")&amp;"T"&amp;ROUND(W27,1),"")</f>
        <v>HVIL03-PP-PMMA-H30.5W30.5-T0.3</v>
      </c>
      <c r="C27" s="111">
        <v>10</v>
      </c>
      <c r="D27" s="173">
        <f>IF(ISNUMBER(C27),C27-(COUNTIF(Data!AH:AH,Targets!B27)+COUNTIF(Data!AI:AI,Targets!B27)),"")</f>
        <v>10</v>
      </c>
      <c r="E27" s="106" t="s">
        <v>83</v>
      </c>
      <c r="F27" s="106" t="s">
        <v>139</v>
      </c>
      <c r="G27" s="106" t="s">
        <v>283</v>
      </c>
      <c r="H27" s="106" t="s">
        <v>276</v>
      </c>
      <c r="I27" s="455">
        <v>3.1749999999999998</v>
      </c>
      <c r="J27" s="111" t="str">
        <f t="shared" si="12"/>
        <v>N/A</v>
      </c>
      <c r="K27" s="186">
        <v>304.8</v>
      </c>
      <c r="L27" s="186">
        <v>304.8</v>
      </c>
      <c r="M27" s="450"/>
      <c r="N27" s="118" t="s">
        <v>70</v>
      </c>
      <c r="O27" s="124" t="s">
        <v>284</v>
      </c>
      <c r="R27" s="107" t="str">
        <f t="shared" si="9"/>
        <v>HVIL003</v>
      </c>
      <c r="S27" s="106" t="str">
        <f t="shared" si="10"/>
        <v>P</v>
      </c>
      <c r="T27" s="106" t="str">
        <f t="shared" si="11"/>
        <v>P</v>
      </c>
      <c r="U27" s="106" t="str">
        <f t="shared" si="6"/>
        <v>P</v>
      </c>
      <c r="V27" s="123" t="str">
        <f t="shared" si="7"/>
        <v/>
      </c>
      <c r="W27" s="123">
        <f t="shared" si="8"/>
        <v>0.3175</v>
      </c>
      <c r="X27" s="106">
        <f t="shared" si="3"/>
        <v>30.48</v>
      </c>
      <c r="Y27" s="132">
        <f t="shared" si="4"/>
        <v>30.48</v>
      </c>
    </row>
    <row r="28" spans="1:29">
      <c r="A28" s="126" t="s">
        <v>137</v>
      </c>
      <c r="B28" s="148" t="str">
        <f>IF(A28&lt;&gt;"",O28&amp;"-"&amp;S28&amp;U28&amp;"-"&amp;G28&amp;"-"&amp;IF(ISNUMBER(V28),"D"&amp;ROUND(V28,1)&amp;"-","")&amp;IF(ISNUMBER(X28),"H"&amp;ROUND(X28,1)&amp;"W"&amp;ROUND(Y28,1)&amp;"-","")&amp;"T"&amp;ROUND(W28,1),"")</f>
        <v>HVIL03-PP-PMMA-H30.5W30.5-T0.6</v>
      </c>
      <c r="C28" s="111">
        <v>10</v>
      </c>
      <c r="D28" s="173">
        <f>IF(ISNUMBER(C28),C28-(COUNTIF(Data!AH:AH,Targets!B28)+COUNTIF(Data!AI:AI,Targets!B28)),"")</f>
        <v>8</v>
      </c>
      <c r="E28" s="106" t="s">
        <v>83</v>
      </c>
      <c r="F28" s="106" t="s">
        <v>139</v>
      </c>
      <c r="G28" s="106" t="s">
        <v>283</v>
      </c>
      <c r="H28" s="106" t="s">
        <v>276</v>
      </c>
      <c r="I28" s="455">
        <v>6.35</v>
      </c>
      <c r="J28" s="111" t="str">
        <f t="shared" si="12"/>
        <v>N/A</v>
      </c>
      <c r="K28" s="186">
        <v>304.8</v>
      </c>
      <c r="L28" s="186">
        <v>304.8</v>
      </c>
      <c r="M28" s="450"/>
      <c r="N28" s="118" t="s">
        <v>70</v>
      </c>
      <c r="O28" s="124" t="s">
        <v>284</v>
      </c>
      <c r="R28" s="107" t="str">
        <f t="shared" si="9"/>
        <v>HVIL003</v>
      </c>
      <c r="S28" s="106" t="str">
        <f t="shared" si="10"/>
        <v>P</v>
      </c>
      <c r="T28" s="106" t="str">
        <f t="shared" si="11"/>
        <v>P</v>
      </c>
      <c r="U28" s="106" t="str">
        <f t="shared" si="6"/>
        <v>P</v>
      </c>
      <c r="V28" s="123" t="str">
        <f t="shared" si="7"/>
        <v/>
      </c>
      <c r="W28" s="123">
        <f t="shared" si="8"/>
        <v>0.63500000000000001</v>
      </c>
      <c r="X28" s="106">
        <f t="shared" si="3"/>
        <v>30.48</v>
      </c>
      <c r="Y28" s="132">
        <f t="shared" si="4"/>
        <v>30.48</v>
      </c>
    </row>
    <row r="29" spans="1:29">
      <c r="A29" s="126"/>
      <c r="B29" s="166" t="str">
        <f t="shared" ref="B29:B65" si="21">IF(A29&lt;&gt;"",O29&amp;"-"&amp;S29&amp;U29&amp;"-"&amp;G29&amp;"-"&amp;IF(ISNUMBER(V29),"D"&amp;ROUND(V29,0)&amp;"-","")&amp;IF(ISNUMBER(X29),"H"&amp;ROUND(X29,0)&amp;"W"&amp;ROUND(Y29,0)&amp;"-","")&amp;"T"&amp;ROUND(W29,0),"")</f>
        <v/>
      </c>
      <c r="C29" s="111"/>
      <c r="D29" s="173" t="str">
        <f>IF(ISNUMBER(C29),C29-(COUNTIF(Data!AH:AH,Targets!B29)+COUNTIF(Data!AI:AI,Targets!B29)),"")</f>
        <v/>
      </c>
      <c r="E29" s="106"/>
      <c r="F29" s="106"/>
      <c r="G29" s="106"/>
      <c r="H29" s="106"/>
      <c r="I29" s="455"/>
      <c r="J29" s="111" t="str">
        <f t="shared" si="12"/>
        <v xml:space="preserve"> </v>
      </c>
      <c r="K29" s="186" t="str">
        <f t="shared" si="5"/>
        <v xml:space="preserve"> </v>
      </c>
      <c r="L29" s="186" t="str">
        <f t="shared" si="5"/>
        <v xml:space="preserve"> </v>
      </c>
      <c r="M29" s="450"/>
      <c r="N29" s="118"/>
      <c r="O29" s="124"/>
      <c r="R29" s="107" t="str">
        <f t="shared" si="9"/>
        <v/>
      </c>
      <c r="S29" s="106" t="str">
        <f t="shared" si="10"/>
        <v/>
      </c>
      <c r="T29" s="106" t="str">
        <f t="shared" si="11"/>
        <v/>
      </c>
      <c r="U29" s="106" t="str">
        <f t="shared" si="6"/>
        <v/>
      </c>
      <c r="V29" s="123" t="str">
        <f t="shared" si="7"/>
        <v/>
      </c>
      <c r="W29" s="123" t="str">
        <f t="shared" si="8"/>
        <v/>
      </c>
      <c r="X29" s="106" t="str">
        <f t="shared" si="3"/>
        <v/>
      </c>
      <c r="Y29" s="132" t="str">
        <f t="shared" si="4"/>
        <v/>
      </c>
    </row>
    <row r="30" spans="1:29">
      <c r="A30" s="126"/>
      <c r="B30" s="166" t="str">
        <f t="shared" si="21"/>
        <v/>
      </c>
      <c r="C30" s="111"/>
      <c r="D30" s="173" t="str">
        <f>IF(ISNUMBER(C30),C30-(COUNTIF(Data!AH:AH,Targets!B30)+COUNTIF(Data!AI:AI,Targets!B30)),"")</f>
        <v/>
      </c>
      <c r="E30" s="106"/>
      <c r="F30" s="106"/>
      <c r="G30" s="106"/>
      <c r="H30" s="106"/>
      <c r="I30" s="455"/>
      <c r="J30" s="111" t="str">
        <f t="shared" si="12"/>
        <v xml:space="preserve"> </v>
      </c>
      <c r="K30" s="186" t="str">
        <f t="shared" si="5"/>
        <v xml:space="preserve"> </v>
      </c>
      <c r="L30" s="186" t="str">
        <f t="shared" si="5"/>
        <v xml:space="preserve"> </v>
      </c>
      <c r="M30" s="450"/>
      <c r="N30" s="118"/>
      <c r="O30" s="124"/>
      <c r="R30" s="107" t="str">
        <f t="shared" si="9"/>
        <v/>
      </c>
      <c r="S30" s="106" t="str">
        <f t="shared" si="10"/>
        <v/>
      </c>
      <c r="T30" s="106" t="str">
        <f t="shared" si="11"/>
        <v/>
      </c>
      <c r="U30" s="106" t="str">
        <f t="shared" si="6"/>
        <v/>
      </c>
      <c r="V30" s="123" t="str">
        <f t="shared" si="7"/>
        <v/>
      </c>
      <c r="W30" s="123" t="str">
        <f t="shared" si="8"/>
        <v/>
      </c>
      <c r="X30" s="106" t="str">
        <f t="shared" si="3"/>
        <v/>
      </c>
      <c r="Y30" s="132" t="str">
        <f t="shared" si="4"/>
        <v/>
      </c>
      <c r="AC30" t="str">
        <f t="shared" ref="AC30:AC65" si="22">IF(A30&lt;&gt;"",R30&amp;"-"&amp;O30&amp;"-"&amp;S30&amp;T30&amp;U30&amp;"-"&amp;IF(ISNUMBER(V30),"D"&amp;V30&amp;"-","")&amp;IF(ISNUMBER(X30),"H"&amp;X30&amp;"W"&amp;Y30&amp;"-","")&amp;"T"&amp;W30,"")</f>
        <v/>
      </c>
    </row>
    <row r="31" spans="1:29">
      <c r="A31" s="126"/>
      <c r="B31" s="166" t="str">
        <f t="shared" si="21"/>
        <v/>
      </c>
      <c r="C31" s="111"/>
      <c r="D31" s="173" t="str">
        <f>IF(ISNUMBER(C31),C31-(COUNTIF(Data!AH:AH,Targets!B31)+COUNTIF(Data!AI:AI,Targets!B31)),"")</f>
        <v/>
      </c>
      <c r="E31" s="106"/>
      <c r="F31" s="106"/>
      <c r="G31" s="106"/>
      <c r="H31" s="106"/>
      <c r="I31" s="455"/>
      <c r="J31" s="111" t="str">
        <f t="shared" si="12"/>
        <v xml:space="preserve"> </v>
      </c>
      <c r="K31" s="186" t="str">
        <f t="shared" si="5"/>
        <v xml:space="preserve"> </v>
      </c>
      <c r="L31" s="186" t="str">
        <f t="shared" si="5"/>
        <v xml:space="preserve"> </v>
      </c>
      <c r="M31" s="450"/>
      <c r="N31" s="118"/>
      <c r="O31" s="124"/>
      <c r="R31" s="107" t="str">
        <f t="shared" si="9"/>
        <v/>
      </c>
      <c r="S31" s="106" t="str">
        <f t="shared" si="10"/>
        <v/>
      </c>
      <c r="T31" s="106" t="str">
        <f t="shared" si="11"/>
        <v/>
      </c>
      <c r="U31" s="106" t="str">
        <f t="shared" si="6"/>
        <v/>
      </c>
      <c r="V31" s="123" t="str">
        <f t="shared" si="7"/>
        <v/>
      </c>
      <c r="W31" s="123" t="str">
        <f t="shared" si="8"/>
        <v/>
      </c>
      <c r="X31" s="106" t="str">
        <f t="shared" si="3"/>
        <v/>
      </c>
      <c r="Y31" s="132" t="str">
        <f t="shared" si="4"/>
        <v/>
      </c>
      <c r="AC31" t="str">
        <f t="shared" si="22"/>
        <v/>
      </c>
    </row>
    <row r="32" spans="1:29">
      <c r="A32" s="126"/>
      <c r="B32" s="166" t="str">
        <f t="shared" si="21"/>
        <v/>
      </c>
      <c r="C32" s="111"/>
      <c r="D32" s="173" t="str">
        <f>IF(ISNUMBER(C32),C32-(COUNTIF(Data!AH:AH,Targets!B32)+COUNTIF(Data!AI:AI,Targets!B32)),"")</f>
        <v/>
      </c>
      <c r="E32" s="106"/>
      <c r="F32" s="106"/>
      <c r="G32" s="106"/>
      <c r="H32" s="106"/>
      <c r="I32" s="455"/>
      <c r="J32" s="111" t="str">
        <f t="shared" si="12"/>
        <v xml:space="preserve"> </v>
      </c>
      <c r="K32" s="186" t="str">
        <f t="shared" si="5"/>
        <v xml:space="preserve"> </v>
      </c>
      <c r="L32" s="186" t="str">
        <f t="shared" si="5"/>
        <v xml:space="preserve"> </v>
      </c>
      <c r="M32" s="450"/>
      <c r="N32" s="118"/>
      <c r="O32" s="124"/>
      <c r="R32" s="107" t="str">
        <f t="shared" si="9"/>
        <v/>
      </c>
      <c r="S32" s="106" t="str">
        <f t="shared" si="10"/>
        <v/>
      </c>
      <c r="T32" s="106" t="str">
        <f t="shared" si="11"/>
        <v/>
      </c>
      <c r="U32" s="106" t="str">
        <f t="shared" si="6"/>
        <v/>
      </c>
      <c r="V32" s="123" t="str">
        <f t="shared" si="7"/>
        <v/>
      </c>
      <c r="W32" s="123" t="str">
        <f t="shared" si="8"/>
        <v/>
      </c>
      <c r="X32" s="106" t="str">
        <f t="shared" si="3"/>
        <v/>
      </c>
      <c r="Y32" s="132" t="str">
        <f t="shared" si="4"/>
        <v/>
      </c>
      <c r="AC32" t="str">
        <f t="shared" si="22"/>
        <v/>
      </c>
    </row>
    <row r="33" spans="1:29">
      <c r="A33" s="126"/>
      <c r="B33" s="166" t="str">
        <f t="shared" si="21"/>
        <v/>
      </c>
      <c r="C33" s="111"/>
      <c r="D33" s="173" t="str">
        <f>IF(ISNUMBER(C33),C33-(COUNTIF(Data!AH:AH,Targets!B33)+COUNTIF(Data!AI:AI,Targets!B33)),"")</f>
        <v/>
      </c>
      <c r="E33" s="106"/>
      <c r="F33" s="106"/>
      <c r="G33" s="106"/>
      <c r="H33" s="106"/>
      <c r="I33" s="455"/>
      <c r="J33" s="111" t="str">
        <f t="shared" si="12"/>
        <v xml:space="preserve"> </v>
      </c>
      <c r="K33" s="186" t="str">
        <f t="shared" si="5"/>
        <v xml:space="preserve"> </v>
      </c>
      <c r="L33" s="186" t="str">
        <f t="shared" si="5"/>
        <v xml:space="preserve"> </v>
      </c>
      <c r="M33" s="450"/>
      <c r="N33" s="118"/>
      <c r="O33" s="124"/>
      <c r="R33" s="107" t="str">
        <f t="shared" si="9"/>
        <v/>
      </c>
      <c r="S33" s="106" t="str">
        <f t="shared" si="10"/>
        <v/>
      </c>
      <c r="T33" s="106" t="str">
        <f t="shared" si="11"/>
        <v/>
      </c>
      <c r="U33" s="106" t="str">
        <f t="shared" si="6"/>
        <v/>
      </c>
      <c r="V33" s="123" t="str">
        <f t="shared" si="7"/>
        <v/>
      </c>
      <c r="W33" s="123" t="str">
        <f t="shared" si="8"/>
        <v/>
      </c>
      <c r="X33" s="106" t="str">
        <f t="shared" si="3"/>
        <v/>
      </c>
      <c r="Y33" s="132" t="str">
        <f t="shared" si="4"/>
        <v/>
      </c>
      <c r="AC33" t="str">
        <f t="shared" si="22"/>
        <v/>
      </c>
    </row>
    <row r="34" spans="1:29">
      <c r="A34" s="126"/>
      <c r="B34" s="166" t="str">
        <f t="shared" si="21"/>
        <v/>
      </c>
      <c r="C34" s="111"/>
      <c r="D34" s="173" t="str">
        <f>IF(ISNUMBER(C34),C34-(COUNTIF(Data!AH:AH,Targets!B34)+COUNTIF(Data!AI:AI,Targets!B34)),"")</f>
        <v/>
      </c>
      <c r="E34" s="106"/>
      <c r="F34" s="106"/>
      <c r="G34" s="106"/>
      <c r="H34" s="106"/>
      <c r="I34" s="455"/>
      <c r="J34" s="111" t="str">
        <f t="shared" si="12"/>
        <v xml:space="preserve"> </v>
      </c>
      <c r="K34" s="186" t="str">
        <f t="shared" si="5"/>
        <v xml:space="preserve"> </v>
      </c>
      <c r="L34" s="186" t="str">
        <f t="shared" si="5"/>
        <v xml:space="preserve"> </v>
      </c>
      <c r="M34" s="450"/>
      <c r="N34" s="118"/>
      <c r="O34" s="124"/>
      <c r="R34" s="107" t="str">
        <f t="shared" si="9"/>
        <v/>
      </c>
      <c r="S34" s="106" t="str">
        <f t="shared" si="10"/>
        <v/>
      </c>
      <c r="T34" s="106" t="str">
        <f t="shared" si="11"/>
        <v/>
      </c>
      <c r="U34" s="106" t="str">
        <f t="shared" si="6"/>
        <v/>
      </c>
      <c r="V34" s="123" t="str">
        <f t="shared" si="7"/>
        <v/>
      </c>
      <c r="W34" s="123" t="str">
        <f t="shared" si="8"/>
        <v/>
      </c>
      <c r="X34" s="106" t="str">
        <f t="shared" si="3"/>
        <v/>
      </c>
      <c r="Y34" s="132" t="str">
        <f t="shared" si="4"/>
        <v/>
      </c>
      <c r="AC34" t="str">
        <f t="shared" si="22"/>
        <v/>
      </c>
    </row>
    <row r="35" spans="1:29">
      <c r="A35" s="126"/>
      <c r="B35" s="166" t="str">
        <f t="shared" si="21"/>
        <v/>
      </c>
      <c r="C35" s="111"/>
      <c r="D35" s="173" t="str">
        <f>IF(ISNUMBER(C35),C35-(COUNTIF(Data!AH:AH,Targets!B35)+COUNTIF(Data!AI:AI,Targets!B35)),"")</f>
        <v/>
      </c>
      <c r="E35" s="106"/>
      <c r="F35" s="106"/>
      <c r="G35" s="106"/>
      <c r="H35" s="106"/>
      <c r="I35" s="455"/>
      <c r="J35" s="111" t="str">
        <f t="shared" si="12"/>
        <v xml:space="preserve"> </v>
      </c>
      <c r="K35" s="186" t="str">
        <f t="shared" si="5"/>
        <v xml:space="preserve"> </v>
      </c>
      <c r="L35" s="186" t="str">
        <f t="shared" si="5"/>
        <v xml:space="preserve"> </v>
      </c>
      <c r="M35" s="450"/>
      <c r="N35" s="118"/>
      <c r="O35" s="124"/>
      <c r="R35" s="107" t="str">
        <f t="shared" si="9"/>
        <v/>
      </c>
      <c r="S35" s="106" t="str">
        <f t="shared" si="10"/>
        <v/>
      </c>
      <c r="T35" s="106" t="str">
        <f t="shared" si="11"/>
        <v/>
      </c>
      <c r="U35" s="106" t="str">
        <f t="shared" si="6"/>
        <v/>
      </c>
      <c r="V35" s="123" t="str">
        <f t="shared" si="7"/>
        <v/>
      </c>
      <c r="W35" s="123" t="str">
        <f t="shared" si="8"/>
        <v/>
      </c>
      <c r="X35" s="106" t="str">
        <f t="shared" si="3"/>
        <v/>
      </c>
      <c r="Y35" s="132" t="str">
        <f t="shared" si="4"/>
        <v/>
      </c>
      <c r="AC35" t="str">
        <f t="shared" si="22"/>
        <v/>
      </c>
    </row>
    <row r="36" spans="1:29">
      <c r="A36" s="126"/>
      <c r="B36" s="166" t="str">
        <f t="shared" si="21"/>
        <v/>
      </c>
      <c r="C36" s="111"/>
      <c r="D36" s="173" t="str">
        <f>IF(ISNUMBER(C36),C36-(COUNTIF(Data!AH:AH,Targets!B36)+COUNTIF(Data!AI:AI,Targets!B36)),"")</f>
        <v/>
      </c>
      <c r="E36" s="106"/>
      <c r="F36" s="106"/>
      <c r="G36" s="106"/>
      <c r="H36" s="106"/>
      <c r="I36" s="455"/>
      <c r="J36" s="111" t="str">
        <f t="shared" si="12"/>
        <v xml:space="preserve"> </v>
      </c>
      <c r="K36" s="186" t="str">
        <f t="shared" si="5"/>
        <v xml:space="preserve"> </v>
      </c>
      <c r="L36" s="186" t="str">
        <f t="shared" si="5"/>
        <v xml:space="preserve"> </v>
      </c>
      <c r="M36" s="450"/>
      <c r="N36" s="118"/>
      <c r="O36" s="124"/>
      <c r="R36" s="107" t="str">
        <f t="shared" si="9"/>
        <v/>
      </c>
      <c r="S36" s="106" t="str">
        <f t="shared" si="10"/>
        <v/>
      </c>
      <c r="T36" s="106" t="str">
        <f t="shared" si="11"/>
        <v/>
      </c>
      <c r="U36" s="106" t="str">
        <f t="shared" si="6"/>
        <v/>
      </c>
      <c r="V36" s="123" t="str">
        <f t="shared" si="7"/>
        <v/>
      </c>
      <c r="W36" s="123" t="str">
        <f t="shared" si="8"/>
        <v/>
      </c>
      <c r="X36" s="106" t="str">
        <f t="shared" si="3"/>
        <v/>
      </c>
      <c r="Y36" s="132" t="str">
        <f t="shared" si="4"/>
        <v/>
      </c>
      <c r="AC36" t="str">
        <f t="shared" si="22"/>
        <v/>
      </c>
    </row>
    <row r="37" spans="1:29">
      <c r="A37" s="126"/>
      <c r="B37" s="166" t="str">
        <f t="shared" si="21"/>
        <v/>
      </c>
      <c r="C37" s="111"/>
      <c r="D37" s="173" t="str">
        <f>IF(ISNUMBER(C37),C37-(COUNTIF(Data!AH:AH,Targets!B37)+COUNTIF(Data!AI:AI,Targets!B37)),"")</f>
        <v/>
      </c>
      <c r="E37" s="106"/>
      <c r="F37" s="106"/>
      <c r="G37" s="106"/>
      <c r="H37" s="106"/>
      <c r="I37" s="455"/>
      <c r="J37" s="111" t="str">
        <f t="shared" si="12"/>
        <v xml:space="preserve"> </v>
      </c>
      <c r="K37" s="186" t="str">
        <f t="shared" si="5"/>
        <v xml:space="preserve"> </v>
      </c>
      <c r="L37" s="186" t="str">
        <f t="shared" si="5"/>
        <v xml:space="preserve"> </v>
      </c>
      <c r="M37" s="450"/>
      <c r="N37" s="118"/>
      <c r="O37" s="124"/>
      <c r="R37" s="107" t="str">
        <f t="shared" si="9"/>
        <v/>
      </c>
      <c r="S37" s="106" t="str">
        <f t="shared" si="10"/>
        <v/>
      </c>
      <c r="T37" s="106" t="str">
        <f t="shared" si="11"/>
        <v/>
      </c>
      <c r="U37" s="106" t="str">
        <f t="shared" si="6"/>
        <v/>
      </c>
      <c r="V37" s="123" t="str">
        <f t="shared" si="7"/>
        <v/>
      </c>
      <c r="W37" s="123" t="str">
        <f t="shared" si="8"/>
        <v/>
      </c>
      <c r="X37" s="106" t="str">
        <f t="shared" si="3"/>
        <v/>
      </c>
      <c r="Y37" s="132" t="str">
        <f t="shared" si="4"/>
        <v/>
      </c>
      <c r="AC37" t="str">
        <f t="shared" si="22"/>
        <v/>
      </c>
    </row>
    <row r="38" spans="1:29">
      <c r="A38" s="126"/>
      <c r="B38" s="166" t="str">
        <f t="shared" si="21"/>
        <v/>
      </c>
      <c r="C38" s="111"/>
      <c r="D38" s="173" t="str">
        <f>IF(ISNUMBER(C38),C38-(COUNTIF(Data!AH:AH,Targets!B38)+COUNTIF(Data!AI:AI,Targets!B38)),"")</f>
        <v/>
      </c>
      <c r="E38" s="106"/>
      <c r="F38" s="106"/>
      <c r="G38" s="106"/>
      <c r="H38" s="106"/>
      <c r="I38" s="455"/>
      <c r="J38" s="111" t="str">
        <f t="shared" si="12"/>
        <v xml:space="preserve"> </v>
      </c>
      <c r="K38" s="186" t="str">
        <f t="shared" si="5"/>
        <v xml:space="preserve"> </v>
      </c>
      <c r="L38" s="186" t="str">
        <f t="shared" si="5"/>
        <v xml:space="preserve"> </v>
      </c>
      <c r="M38" s="450"/>
      <c r="N38" s="118"/>
      <c r="O38" s="124"/>
      <c r="R38" s="107" t="str">
        <f t="shared" si="9"/>
        <v/>
      </c>
      <c r="S38" s="106" t="str">
        <f t="shared" si="10"/>
        <v/>
      </c>
      <c r="T38" s="106" t="str">
        <f t="shared" si="11"/>
        <v/>
      </c>
      <c r="U38" s="106" t="str">
        <f t="shared" si="6"/>
        <v/>
      </c>
      <c r="V38" s="123" t="str">
        <f t="shared" si="7"/>
        <v/>
      </c>
      <c r="W38" s="123" t="str">
        <f t="shared" si="8"/>
        <v/>
      </c>
      <c r="X38" s="106" t="str">
        <f t="shared" si="3"/>
        <v/>
      </c>
      <c r="Y38" s="132" t="str">
        <f t="shared" si="4"/>
        <v/>
      </c>
      <c r="AC38" t="str">
        <f t="shared" si="22"/>
        <v/>
      </c>
    </row>
    <row r="39" spans="1:29">
      <c r="A39" s="126"/>
      <c r="B39" s="166" t="str">
        <f t="shared" si="21"/>
        <v/>
      </c>
      <c r="C39" s="111"/>
      <c r="D39" s="173" t="str">
        <f>IF(ISNUMBER(C39),C39-(COUNTIF(Data!AH:AH,Targets!B39)+COUNTIF(Data!AI:AI,Targets!B39)),"")</f>
        <v/>
      </c>
      <c r="E39" s="106"/>
      <c r="F39" s="106"/>
      <c r="G39" s="106"/>
      <c r="H39" s="106"/>
      <c r="I39" s="455"/>
      <c r="J39" s="111" t="str">
        <f t="shared" si="12"/>
        <v xml:space="preserve"> </v>
      </c>
      <c r="K39" s="186" t="str">
        <f t="shared" si="5"/>
        <v xml:space="preserve"> </v>
      </c>
      <c r="L39" s="186" t="str">
        <f t="shared" si="5"/>
        <v xml:space="preserve"> </v>
      </c>
      <c r="M39" s="450"/>
      <c r="N39" s="118"/>
      <c r="O39" s="124"/>
      <c r="R39" s="107" t="str">
        <f t="shared" si="9"/>
        <v/>
      </c>
      <c r="S39" s="106" t="str">
        <f t="shared" si="10"/>
        <v/>
      </c>
      <c r="T39" s="106" t="str">
        <f t="shared" si="11"/>
        <v/>
      </c>
      <c r="U39" s="106" t="str">
        <f t="shared" si="6"/>
        <v/>
      </c>
      <c r="V39" s="123" t="str">
        <f t="shared" si="7"/>
        <v/>
      </c>
      <c r="W39" s="123" t="str">
        <f t="shared" si="8"/>
        <v/>
      </c>
      <c r="X39" s="106" t="str">
        <f t="shared" si="3"/>
        <v/>
      </c>
      <c r="Y39" s="132" t="str">
        <f t="shared" si="4"/>
        <v/>
      </c>
      <c r="AC39" t="str">
        <f t="shared" si="22"/>
        <v/>
      </c>
    </row>
    <row r="40" spans="1:29">
      <c r="A40" s="126"/>
      <c r="B40" s="166" t="str">
        <f t="shared" si="21"/>
        <v/>
      </c>
      <c r="C40" s="111"/>
      <c r="D40" s="173" t="str">
        <f>IF(ISNUMBER(C40),C40-(COUNTIF(Data!AH:AH,Targets!B40)+COUNTIF(Data!AI:AI,Targets!B40)),"")</f>
        <v/>
      </c>
      <c r="E40" s="106"/>
      <c r="F40" s="106"/>
      <c r="G40" s="106"/>
      <c r="H40" s="106"/>
      <c r="I40" s="455"/>
      <c r="J40" s="111" t="str">
        <f t="shared" si="12"/>
        <v xml:space="preserve"> </v>
      </c>
      <c r="K40" s="186" t="str">
        <f t="shared" si="5"/>
        <v xml:space="preserve"> </v>
      </c>
      <c r="L40" s="186" t="str">
        <f t="shared" si="5"/>
        <v xml:space="preserve"> </v>
      </c>
      <c r="M40" s="450"/>
      <c r="N40" s="118"/>
      <c r="O40" s="124"/>
      <c r="R40" s="107" t="str">
        <f t="shared" si="9"/>
        <v/>
      </c>
      <c r="S40" s="106" t="str">
        <f t="shared" si="10"/>
        <v/>
      </c>
      <c r="T40" s="106" t="str">
        <f t="shared" si="11"/>
        <v/>
      </c>
      <c r="U40" s="106" t="str">
        <f t="shared" si="6"/>
        <v/>
      </c>
      <c r="V40" s="123" t="str">
        <f t="shared" si="7"/>
        <v/>
      </c>
      <c r="W40" s="123" t="str">
        <f t="shared" si="8"/>
        <v/>
      </c>
      <c r="X40" s="106" t="str">
        <f t="shared" si="3"/>
        <v/>
      </c>
      <c r="Y40" s="132" t="str">
        <f t="shared" si="4"/>
        <v/>
      </c>
      <c r="AC40" t="str">
        <f t="shared" si="22"/>
        <v/>
      </c>
    </row>
    <row r="41" spans="1:29">
      <c r="A41" s="126"/>
      <c r="B41" s="166" t="str">
        <f t="shared" si="21"/>
        <v/>
      </c>
      <c r="C41" s="111"/>
      <c r="D41" s="173" t="str">
        <f>IF(ISNUMBER(C41),C41-(COUNTIF(Data!AH:AH,Targets!B41)+COUNTIF(Data!AI:AI,Targets!B41)),"")</f>
        <v/>
      </c>
      <c r="E41" s="106"/>
      <c r="F41" s="106"/>
      <c r="G41" s="106"/>
      <c r="H41" s="106"/>
      <c r="I41" s="455"/>
      <c r="J41" s="111" t="str">
        <f t="shared" si="12"/>
        <v xml:space="preserve"> </v>
      </c>
      <c r="K41" s="186" t="str">
        <f t="shared" si="5"/>
        <v xml:space="preserve"> </v>
      </c>
      <c r="L41" s="186" t="str">
        <f t="shared" si="5"/>
        <v xml:space="preserve"> </v>
      </c>
      <c r="M41" s="450"/>
      <c r="N41" s="118"/>
      <c r="O41" s="124"/>
      <c r="R41" s="107" t="str">
        <f t="shared" si="9"/>
        <v/>
      </c>
      <c r="S41" s="106" t="str">
        <f t="shared" si="10"/>
        <v/>
      </c>
      <c r="T41" s="106" t="str">
        <f t="shared" si="11"/>
        <v/>
      </c>
      <c r="U41" s="106" t="str">
        <f t="shared" si="6"/>
        <v/>
      </c>
      <c r="V41" s="123" t="str">
        <f t="shared" si="7"/>
        <v/>
      </c>
      <c r="W41" s="123" t="str">
        <f t="shared" si="8"/>
        <v/>
      </c>
      <c r="X41" s="106" t="str">
        <f t="shared" si="3"/>
        <v/>
      </c>
      <c r="Y41" s="132" t="str">
        <f t="shared" si="4"/>
        <v/>
      </c>
      <c r="AC41" t="str">
        <f t="shared" si="22"/>
        <v/>
      </c>
    </row>
    <row r="42" spans="1:29">
      <c r="A42" s="126"/>
      <c r="B42" s="166" t="str">
        <f t="shared" si="21"/>
        <v/>
      </c>
      <c r="C42" s="111"/>
      <c r="D42" s="173" t="str">
        <f>IF(ISNUMBER(C42),C42-(COUNTIF(Data!AH:AH,Targets!B42)+COUNTIF(Data!AI:AI,Targets!B42)),"")</f>
        <v/>
      </c>
      <c r="E42" s="106"/>
      <c r="F42" s="106"/>
      <c r="G42" s="106"/>
      <c r="H42" s="106"/>
      <c r="I42" s="455"/>
      <c r="J42" s="111" t="str">
        <f t="shared" si="12"/>
        <v xml:space="preserve"> </v>
      </c>
      <c r="K42" s="186" t="str">
        <f t="shared" si="5"/>
        <v xml:space="preserve"> </v>
      </c>
      <c r="L42" s="186" t="str">
        <f t="shared" si="5"/>
        <v xml:space="preserve"> </v>
      </c>
      <c r="M42" s="450"/>
      <c r="N42" s="118"/>
      <c r="O42" s="124"/>
      <c r="R42" s="107" t="str">
        <f t="shared" si="9"/>
        <v/>
      </c>
      <c r="S42" s="106" t="str">
        <f t="shared" si="10"/>
        <v/>
      </c>
      <c r="T42" s="106" t="str">
        <f t="shared" si="11"/>
        <v/>
      </c>
      <c r="U42" s="106" t="str">
        <f t="shared" si="6"/>
        <v/>
      </c>
      <c r="V42" s="123" t="str">
        <f t="shared" si="7"/>
        <v/>
      </c>
      <c r="W42" s="123" t="str">
        <f t="shared" si="8"/>
        <v/>
      </c>
      <c r="X42" s="106" t="str">
        <f t="shared" si="3"/>
        <v/>
      </c>
      <c r="Y42" s="132" t="str">
        <f t="shared" si="4"/>
        <v/>
      </c>
      <c r="AC42" t="str">
        <f t="shared" si="22"/>
        <v/>
      </c>
    </row>
    <row r="43" spans="1:29">
      <c r="A43" s="126"/>
      <c r="B43" s="166" t="str">
        <f t="shared" si="21"/>
        <v/>
      </c>
      <c r="C43" s="111"/>
      <c r="D43" s="173" t="str">
        <f>IF(ISNUMBER(C43),C43-(COUNTIF(Data!AH:AH,Targets!B43)+COUNTIF(Data!AI:AI,Targets!B43)),"")</f>
        <v/>
      </c>
      <c r="E43" s="106"/>
      <c r="F43" s="106"/>
      <c r="G43" s="106"/>
      <c r="H43" s="106"/>
      <c r="I43" s="455"/>
      <c r="J43" s="111" t="str">
        <f t="shared" si="12"/>
        <v xml:space="preserve"> </v>
      </c>
      <c r="K43" s="186" t="str">
        <f t="shared" si="5"/>
        <v xml:space="preserve"> </v>
      </c>
      <c r="L43" s="186" t="str">
        <f t="shared" si="5"/>
        <v xml:space="preserve"> </v>
      </c>
      <c r="M43" s="450"/>
      <c r="N43" s="118"/>
      <c r="O43" s="124"/>
      <c r="R43" s="107" t="str">
        <f t="shared" si="9"/>
        <v/>
      </c>
      <c r="S43" s="106" t="str">
        <f t="shared" si="10"/>
        <v/>
      </c>
      <c r="T43" s="106" t="str">
        <f t="shared" si="11"/>
        <v/>
      </c>
      <c r="U43" s="106" t="str">
        <f t="shared" si="6"/>
        <v/>
      </c>
      <c r="V43" s="123" t="str">
        <f t="shared" si="7"/>
        <v/>
      </c>
      <c r="W43" s="123" t="str">
        <f t="shared" si="8"/>
        <v/>
      </c>
      <c r="X43" s="106" t="str">
        <f t="shared" si="3"/>
        <v/>
      </c>
      <c r="Y43" s="132" t="str">
        <f t="shared" si="4"/>
        <v/>
      </c>
      <c r="AC43" t="str">
        <f t="shared" si="22"/>
        <v/>
      </c>
    </row>
    <row r="44" spans="1:29">
      <c r="A44" s="126"/>
      <c r="B44" s="166" t="str">
        <f t="shared" si="21"/>
        <v/>
      </c>
      <c r="C44" s="111"/>
      <c r="D44" s="173" t="str">
        <f>IF(ISNUMBER(C44),C44-(COUNTIF(Data!AH:AH,Targets!B44)+COUNTIF(Data!AI:AI,Targets!B44)),"")</f>
        <v/>
      </c>
      <c r="E44" s="106"/>
      <c r="F44" s="106"/>
      <c r="G44" s="106"/>
      <c r="H44" s="106"/>
      <c r="I44" s="455"/>
      <c r="J44" s="111" t="str">
        <f t="shared" si="12"/>
        <v xml:space="preserve"> </v>
      </c>
      <c r="K44" s="186" t="str">
        <f t="shared" si="5"/>
        <v xml:space="preserve"> </v>
      </c>
      <c r="L44" s="186" t="str">
        <f t="shared" si="5"/>
        <v xml:space="preserve"> </v>
      </c>
      <c r="M44" s="450"/>
      <c r="N44" s="118"/>
      <c r="O44" s="124"/>
      <c r="R44" s="107" t="str">
        <f t="shared" si="9"/>
        <v/>
      </c>
      <c r="S44" s="106" t="str">
        <f t="shared" si="10"/>
        <v/>
      </c>
      <c r="T44" s="106" t="str">
        <f t="shared" si="11"/>
        <v/>
      </c>
      <c r="U44" s="106" t="str">
        <f t="shared" si="6"/>
        <v/>
      </c>
      <c r="V44" s="123" t="str">
        <f t="shared" si="7"/>
        <v/>
      </c>
      <c r="W44" s="123" t="str">
        <f t="shared" si="8"/>
        <v/>
      </c>
      <c r="X44" s="106" t="str">
        <f t="shared" si="3"/>
        <v/>
      </c>
      <c r="Y44" s="132" t="str">
        <f t="shared" si="4"/>
        <v/>
      </c>
      <c r="AC44" t="str">
        <f t="shared" si="22"/>
        <v/>
      </c>
    </row>
    <row r="45" spans="1:29">
      <c r="A45" s="126"/>
      <c r="B45" s="166" t="str">
        <f t="shared" si="21"/>
        <v/>
      </c>
      <c r="C45" s="111"/>
      <c r="D45" s="173" t="str">
        <f>IF(ISNUMBER(C45),C45-(COUNTIF(Data!AH:AH,Targets!B45)+COUNTIF(Data!AI:AI,Targets!B45)),"")</f>
        <v/>
      </c>
      <c r="E45" s="106"/>
      <c r="F45" s="106"/>
      <c r="G45" s="106"/>
      <c r="H45" s="106"/>
      <c r="I45" s="455"/>
      <c r="J45" s="111" t="str">
        <f t="shared" si="12"/>
        <v xml:space="preserve"> </v>
      </c>
      <c r="K45" s="186" t="str">
        <f t="shared" si="5"/>
        <v xml:space="preserve"> </v>
      </c>
      <c r="L45" s="186" t="str">
        <f t="shared" si="5"/>
        <v xml:space="preserve"> </v>
      </c>
      <c r="M45" s="450"/>
      <c r="N45" s="118"/>
      <c r="O45" s="124"/>
      <c r="R45" s="107" t="str">
        <f t="shared" si="9"/>
        <v/>
      </c>
      <c r="S45" s="106" t="str">
        <f t="shared" si="10"/>
        <v/>
      </c>
      <c r="T45" s="106" t="str">
        <f t="shared" si="11"/>
        <v/>
      </c>
      <c r="U45" s="106" t="str">
        <f t="shared" si="6"/>
        <v/>
      </c>
      <c r="V45" s="123" t="str">
        <f t="shared" si="7"/>
        <v/>
      </c>
      <c r="W45" s="123" t="str">
        <f t="shared" si="8"/>
        <v/>
      </c>
      <c r="X45" s="106" t="str">
        <f t="shared" si="3"/>
        <v/>
      </c>
      <c r="Y45" s="132" t="str">
        <f t="shared" si="4"/>
        <v/>
      </c>
      <c r="AC45" t="str">
        <f t="shared" si="22"/>
        <v/>
      </c>
    </row>
    <row r="46" spans="1:29">
      <c r="A46" s="126"/>
      <c r="B46" s="166" t="str">
        <f t="shared" si="21"/>
        <v/>
      </c>
      <c r="C46" s="111"/>
      <c r="D46" s="173" t="str">
        <f>IF(ISNUMBER(C46),C46-(COUNTIF(Data!AH:AH,Targets!B46)+COUNTIF(Data!AI:AI,Targets!B46)),"")</f>
        <v/>
      </c>
      <c r="E46" s="106"/>
      <c r="F46" s="106"/>
      <c r="G46" s="106"/>
      <c r="H46" s="106"/>
      <c r="I46" s="455"/>
      <c r="J46" s="111" t="str">
        <f t="shared" si="12"/>
        <v xml:space="preserve"> </v>
      </c>
      <c r="K46" s="186" t="str">
        <f t="shared" si="5"/>
        <v xml:space="preserve"> </v>
      </c>
      <c r="L46" s="186" t="str">
        <f t="shared" si="5"/>
        <v xml:space="preserve"> </v>
      </c>
      <c r="M46" s="450"/>
      <c r="N46" s="118"/>
      <c r="O46" s="124"/>
      <c r="R46" s="107" t="str">
        <f t="shared" si="9"/>
        <v/>
      </c>
      <c r="S46" s="106" t="str">
        <f t="shared" si="10"/>
        <v/>
      </c>
      <c r="T46" s="106" t="str">
        <f t="shared" si="11"/>
        <v/>
      </c>
      <c r="U46" s="106" t="str">
        <f t="shared" si="6"/>
        <v/>
      </c>
      <c r="V46" s="123" t="str">
        <f t="shared" si="7"/>
        <v/>
      </c>
      <c r="W46" s="123" t="str">
        <f t="shared" si="8"/>
        <v/>
      </c>
      <c r="X46" s="106" t="str">
        <f t="shared" si="3"/>
        <v/>
      </c>
      <c r="Y46" s="132" t="str">
        <f t="shared" si="4"/>
        <v/>
      </c>
      <c r="AC46" t="str">
        <f t="shared" si="22"/>
        <v/>
      </c>
    </row>
    <row r="47" spans="1:29">
      <c r="A47" s="126"/>
      <c r="B47" s="166" t="str">
        <f t="shared" si="21"/>
        <v/>
      </c>
      <c r="C47" s="111"/>
      <c r="D47" s="173" t="str">
        <f>IF(ISNUMBER(C47),C47-(COUNTIF(Data!AH:AH,Targets!B47)+COUNTIF(Data!AI:AI,Targets!B47)),"")</f>
        <v/>
      </c>
      <c r="E47" s="106"/>
      <c r="F47" s="106"/>
      <c r="G47" s="106"/>
      <c r="H47" s="106"/>
      <c r="I47" s="455"/>
      <c r="J47" s="111" t="str">
        <f t="shared" si="12"/>
        <v xml:space="preserve"> </v>
      </c>
      <c r="K47" s="186" t="str">
        <f t="shared" si="5"/>
        <v xml:space="preserve"> </v>
      </c>
      <c r="L47" s="186" t="str">
        <f t="shared" si="5"/>
        <v xml:space="preserve"> </v>
      </c>
      <c r="M47" s="450"/>
      <c r="N47" s="118"/>
      <c r="O47" s="124"/>
      <c r="R47" s="107" t="str">
        <f t="shared" si="9"/>
        <v/>
      </c>
      <c r="S47" s="106" t="str">
        <f t="shared" si="10"/>
        <v/>
      </c>
      <c r="T47" s="106" t="str">
        <f t="shared" si="11"/>
        <v/>
      </c>
      <c r="U47" s="106" t="str">
        <f t="shared" si="6"/>
        <v/>
      </c>
      <c r="V47" s="123" t="str">
        <f t="shared" si="7"/>
        <v/>
      </c>
      <c r="W47" s="123" t="str">
        <f t="shared" si="8"/>
        <v/>
      </c>
      <c r="X47" s="106" t="str">
        <f t="shared" si="3"/>
        <v/>
      </c>
      <c r="Y47" s="132" t="str">
        <f t="shared" si="4"/>
        <v/>
      </c>
      <c r="AC47" t="str">
        <f t="shared" si="22"/>
        <v/>
      </c>
    </row>
    <row r="48" spans="1:29">
      <c r="A48" s="126"/>
      <c r="B48" s="166" t="str">
        <f t="shared" si="21"/>
        <v/>
      </c>
      <c r="C48" s="111"/>
      <c r="D48" s="173" t="str">
        <f>IF(ISNUMBER(C48),C48-(COUNTIF(Data!AH:AH,Targets!B48)+COUNTIF(Data!AI:AI,Targets!B48)),"")</f>
        <v/>
      </c>
      <c r="E48" s="106"/>
      <c r="F48" s="106"/>
      <c r="G48" s="106"/>
      <c r="H48" s="106"/>
      <c r="I48" s="455"/>
      <c r="J48" s="111" t="str">
        <f t="shared" si="12"/>
        <v xml:space="preserve"> </v>
      </c>
      <c r="K48" s="186" t="str">
        <f t="shared" si="5"/>
        <v xml:space="preserve"> </v>
      </c>
      <c r="L48" s="186" t="str">
        <f t="shared" si="5"/>
        <v xml:space="preserve"> </v>
      </c>
      <c r="M48" s="450"/>
      <c r="N48" s="118"/>
      <c r="O48" s="124"/>
      <c r="R48" s="107" t="str">
        <f t="shared" si="9"/>
        <v/>
      </c>
      <c r="S48" s="106" t="str">
        <f t="shared" si="10"/>
        <v/>
      </c>
      <c r="T48" s="106" t="str">
        <f t="shared" si="11"/>
        <v/>
      </c>
      <c r="U48" s="106" t="str">
        <f t="shared" si="6"/>
        <v/>
      </c>
      <c r="V48" s="123" t="str">
        <f t="shared" si="7"/>
        <v/>
      </c>
      <c r="W48" s="123" t="str">
        <f t="shared" si="8"/>
        <v/>
      </c>
      <c r="X48" s="106" t="str">
        <f t="shared" si="3"/>
        <v/>
      </c>
      <c r="Y48" s="132" t="str">
        <f t="shared" si="4"/>
        <v/>
      </c>
      <c r="AC48" t="str">
        <f t="shared" si="22"/>
        <v/>
      </c>
    </row>
    <row r="49" spans="1:29">
      <c r="A49" s="126"/>
      <c r="B49" s="166" t="str">
        <f t="shared" si="21"/>
        <v/>
      </c>
      <c r="C49" s="111"/>
      <c r="D49" s="173" t="str">
        <f>IF(ISNUMBER(C49),C49-(COUNTIF(Data!AH:AH,Targets!B49)+COUNTIF(Data!AI:AI,Targets!B49)),"")</f>
        <v/>
      </c>
      <c r="E49" s="106"/>
      <c r="F49" s="106"/>
      <c r="G49" s="106"/>
      <c r="H49" s="106"/>
      <c r="I49" s="455"/>
      <c r="J49" s="111" t="str">
        <f t="shared" si="12"/>
        <v xml:space="preserve"> </v>
      </c>
      <c r="K49" s="186" t="str">
        <f t="shared" si="5"/>
        <v xml:space="preserve"> </v>
      </c>
      <c r="L49" s="186" t="str">
        <f t="shared" si="5"/>
        <v xml:space="preserve"> </v>
      </c>
      <c r="M49" s="450"/>
      <c r="N49" s="118"/>
      <c r="O49" s="124"/>
      <c r="R49" s="107" t="str">
        <f t="shared" si="9"/>
        <v/>
      </c>
      <c r="S49" s="106" t="str">
        <f t="shared" si="10"/>
        <v/>
      </c>
      <c r="T49" s="106" t="str">
        <f t="shared" si="11"/>
        <v/>
      </c>
      <c r="U49" s="106" t="str">
        <f t="shared" si="6"/>
        <v/>
      </c>
      <c r="V49" s="123" t="str">
        <f t="shared" si="7"/>
        <v/>
      </c>
      <c r="W49" s="123" t="str">
        <f t="shared" si="8"/>
        <v/>
      </c>
      <c r="X49" s="106" t="str">
        <f t="shared" si="3"/>
        <v/>
      </c>
      <c r="Y49" s="132" t="str">
        <f t="shared" si="4"/>
        <v/>
      </c>
      <c r="AC49" t="str">
        <f t="shared" si="22"/>
        <v/>
      </c>
    </row>
    <row r="50" spans="1:29">
      <c r="A50" s="126"/>
      <c r="B50" s="166" t="str">
        <f t="shared" si="21"/>
        <v/>
      </c>
      <c r="C50" s="111"/>
      <c r="D50" s="173" t="str">
        <f>IF(ISNUMBER(C50),C50-(COUNTIF(Data!AH:AH,Targets!B50)+COUNTIF(Data!AI:AI,Targets!B50)),"")</f>
        <v/>
      </c>
      <c r="E50" s="106"/>
      <c r="F50" s="106"/>
      <c r="G50" s="106"/>
      <c r="H50" s="106"/>
      <c r="I50" s="455"/>
      <c r="J50" s="111" t="str">
        <f t="shared" si="12"/>
        <v xml:space="preserve"> </v>
      </c>
      <c r="K50" s="186" t="str">
        <f t="shared" si="5"/>
        <v xml:space="preserve"> </v>
      </c>
      <c r="L50" s="186" t="str">
        <f t="shared" si="5"/>
        <v xml:space="preserve"> </v>
      </c>
      <c r="M50" s="450"/>
      <c r="N50" s="118"/>
      <c r="O50" s="124"/>
      <c r="R50" s="107" t="str">
        <f t="shared" si="9"/>
        <v/>
      </c>
      <c r="S50" s="106" t="str">
        <f t="shared" si="10"/>
        <v/>
      </c>
      <c r="T50" s="106" t="str">
        <f t="shared" si="11"/>
        <v/>
      </c>
      <c r="U50" s="106" t="str">
        <f t="shared" si="6"/>
        <v/>
      </c>
      <c r="V50" s="123" t="str">
        <f t="shared" si="7"/>
        <v/>
      </c>
      <c r="W50" s="123" t="str">
        <f t="shared" si="8"/>
        <v/>
      </c>
      <c r="X50" s="106" t="str">
        <f t="shared" si="3"/>
        <v/>
      </c>
      <c r="Y50" s="132" t="str">
        <f t="shared" si="4"/>
        <v/>
      </c>
      <c r="AC50" t="str">
        <f t="shared" si="22"/>
        <v/>
      </c>
    </row>
    <row r="51" spans="1:29">
      <c r="A51" s="126"/>
      <c r="B51" s="166" t="str">
        <f t="shared" si="21"/>
        <v/>
      </c>
      <c r="C51" s="111"/>
      <c r="D51" s="173" t="str">
        <f>IF(ISNUMBER(C51),C51-(COUNTIF(Data!AH:AH,Targets!B51)+COUNTIF(Data!AI:AI,Targets!B51)),"")</f>
        <v/>
      </c>
      <c r="E51" s="106"/>
      <c r="F51" s="106"/>
      <c r="G51" s="106"/>
      <c r="H51" s="106"/>
      <c r="I51" s="455"/>
      <c r="J51" s="111" t="str">
        <f t="shared" si="12"/>
        <v xml:space="preserve"> </v>
      </c>
      <c r="K51" s="186" t="str">
        <f t="shared" si="5"/>
        <v xml:space="preserve"> </v>
      </c>
      <c r="L51" s="186" t="str">
        <f t="shared" si="5"/>
        <v xml:space="preserve"> </v>
      </c>
      <c r="M51" s="450"/>
      <c r="N51" s="118"/>
      <c r="O51" s="124"/>
      <c r="R51" s="107" t="str">
        <f t="shared" si="9"/>
        <v/>
      </c>
      <c r="S51" s="106" t="str">
        <f t="shared" si="10"/>
        <v/>
      </c>
      <c r="T51" s="106" t="str">
        <f t="shared" si="11"/>
        <v/>
      </c>
      <c r="U51" s="106" t="str">
        <f t="shared" si="6"/>
        <v/>
      </c>
      <c r="V51" s="123" t="str">
        <f t="shared" si="7"/>
        <v/>
      </c>
      <c r="W51" s="123" t="str">
        <f t="shared" si="8"/>
        <v/>
      </c>
      <c r="X51" s="106" t="str">
        <f t="shared" si="3"/>
        <v/>
      </c>
      <c r="Y51" s="132" t="str">
        <f t="shared" si="4"/>
        <v/>
      </c>
      <c r="AC51" t="str">
        <f t="shared" si="22"/>
        <v/>
      </c>
    </row>
    <row r="52" spans="1:29">
      <c r="A52" s="126"/>
      <c r="B52" s="166" t="str">
        <f t="shared" si="21"/>
        <v/>
      </c>
      <c r="C52" s="111"/>
      <c r="D52" s="173" t="str">
        <f>IF(ISNUMBER(C52),C52-(COUNTIF(Data!AH:AH,Targets!B52)+COUNTIF(Data!AI:AI,Targets!B52)),"")</f>
        <v/>
      </c>
      <c r="E52" s="106"/>
      <c r="F52" s="106"/>
      <c r="G52" s="106"/>
      <c r="H52" s="106"/>
      <c r="I52" s="455"/>
      <c r="J52" s="111" t="str">
        <f t="shared" si="12"/>
        <v xml:space="preserve"> </v>
      </c>
      <c r="K52" s="186" t="str">
        <f t="shared" si="5"/>
        <v xml:space="preserve"> </v>
      </c>
      <c r="L52" s="186" t="str">
        <f t="shared" si="5"/>
        <v xml:space="preserve"> </v>
      </c>
      <c r="M52" s="450"/>
      <c r="N52" s="118"/>
      <c r="O52" s="124"/>
      <c r="R52" s="107" t="str">
        <f t="shared" si="9"/>
        <v/>
      </c>
      <c r="S52" s="106" t="str">
        <f t="shared" si="10"/>
        <v/>
      </c>
      <c r="T52" s="106" t="str">
        <f t="shared" si="11"/>
        <v/>
      </c>
      <c r="U52" s="106" t="str">
        <f t="shared" si="6"/>
        <v/>
      </c>
      <c r="V52" s="123" t="str">
        <f t="shared" si="7"/>
        <v/>
      </c>
      <c r="W52" s="123" t="str">
        <f t="shared" si="8"/>
        <v/>
      </c>
      <c r="X52" s="106" t="str">
        <f t="shared" si="3"/>
        <v/>
      </c>
      <c r="Y52" s="132" t="str">
        <f t="shared" si="4"/>
        <v/>
      </c>
      <c r="AC52" t="str">
        <f t="shared" si="22"/>
        <v/>
      </c>
    </row>
    <row r="53" spans="1:29">
      <c r="A53" s="126"/>
      <c r="B53" s="166" t="str">
        <f t="shared" si="21"/>
        <v/>
      </c>
      <c r="C53" s="111"/>
      <c r="D53" s="173" t="str">
        <f>IF(ISNUMBER(C53),C53-(COUNTIF(Data!AH:AH,Targets!B53)+COUNTIF(Data!AI:AI,Targets!B53)),"")</f>
        <v/>
      </c>
      <c r="E53" s="106"/>
      <c r="F53" s="106"/>
      <c r="G53" s="106"/>
      <c r="H53" s="106"/>
      <c r="I53" s="455"/>
      <c r="J53" s="111" t="str">
        <f t="shared" si="12"/>
        <v xml:space="preserve"> </v>
      </c>
      <c r="K53" s="186" t="str">
        <f t="shared" si="5"/>
        <v xml:space="preserve"> </v>
      </c>
      <c r="L53" s="186" t="str">
        <f t="shared" si="5"/>
        <v xml:space="preserve"> </v>
      </c>
      <c r="M53" s="450"/>
      <c r="N53" s="118"/>
      <c r="O53" s="124"/>
      <c r="R53" s="107" t="str">
        <f t="shared" si="9"/>
        <v/>
      </c>
      <c r="S53" s="106" t="str">
        <f t="shared" si="10"/>
        <v/>
      </c>
      <c r="T53" s="106" t="str">
        <f t="shared" si="11"/>
        <v/>
      </c>
      <c r="U53" s="106" t="str">
        <f t="shared" si="6"/>
        <v/>
      </c>
      <c r="V53" s="123" t="str">
        <f t="shared" si="7"/>
        <v/>
      </c>
      <c r="W53" s="123" t="str">
        <f t="shared" si="8"/>
        <v/>
      </c>
      <c r="X53" s="106" t="str">
        <f t="shared" si="3"/>
        <v/>
      </c>
      <c r="Y53" s="132" t="str">
        <f t="shared" si="4"/>
        <v/>
      </c>
      <c r="AC53" t="str">
        <f t="shared" si="22"/>
        <v/>
      </c>
    </row>
    <row r="54" spans="1:29">
      <c r="A54" s="126"/>
      <c r="B54" s="166" t="str">
        <f t="shared" si="21"/>
        <v/>
      </c>
      <c r="C54" s="111"/>
      <c r="D54" s="173" t="str">
        <f>IF(ISNUMBER(C54),C54-(COUNTIF(Data!AH:AH,Targets!B54)+COUNTIF(Data!AI:AI,Targets!B54)),"")</f>
        <v/>
      </c>
      <c r="E54" s="106"/>
      <c r="F54" s="106"/>
      <c r="G54" s="106"/>
      <c r="H54" s="106"/>
      <c r="I54" s="455"/>
      <c r="J54" s="111" t="str">
        <f t="shared" si="12"/>
        <v xml:space="preserve"> </v>
      </c>
      <c r="K54" s="186" t="str">
        <f t="shared" si="5"/>
        <v xml:space="preserve"> </v>
      </c>
      <c r="L54" s="186" t="str">
        <f t="shared" si="5"/>
        <v xml:space="preserve"> </v>
      </c>
      <c r="M54" s="450"/>
      <c r="N54" s="118"/>
      <c r="O54" s="124"/>
      <c r="R54" s="107" t="str">
        <f t="shared" si="9"/>
        <v/>
      </c>
      <c r="S54" s="106" t="str">
        <f t="shared" si="10"/>
        <v/>
      </c>
      <c r="T54" s="106" t="str">
        <f t="shared" si="11"/>
        <v/>
      </c>
      <c r="U54" s="106" t="str">
        <f t="shared" si="6"/>
        <v/>
      </c>
      <c r="V54" s="123" t="str">
        <f t="shared" si="7"/>
        <v/>
      </c>
      <c r="W54" s="123" t="str">
        <f t="shared" si="8"/>
        <v/>
      </c>
      <c r="X54" s="106" t="str">
        <f t="shared" si="3"/>
        <v/>
      </c>
      <c r="Y54" s="132" t="str">
        <f t="shared" si="4"/>
        <v/>
      </c>
      <c r="AC54" t="str">
        <f t="shared" si="22"/>
        <v/>
      </c>
    </row>
    <row r="55" spans="1:29">
      <c r="A55" s="126"/>
      <c r="B55" s="166" t="str">
        <f t="shared" si="21"/>
        <v/>
      </c>
      <c r="C55" s="111"/>
      <c r="D55" s="173" t="str">
        <f>IF(ISNUMBER(C55),C55-(COUNTIF(Data!AH:AH,Targets!B55)+COUNTIF(Data!AI:AI,Targets!B55)),"")</f>
        <v/>
      </c>
      <c r="E55" s="106"/>
      <c r="F55" s="106"/>
      <c r="G55" s="106"/>
      <c r="H55" s="106"/>
      <c r="I55" s="455"/>
      <c r="J55" s="111" t="str">
        <f t="shared" si="12"/>
        <v xml:space="preserve"> </v>
      </c>
      <c r="K55" s="186" t="str">
        <f t="shared" si="5"/>
        <v xml:space="preserve"> </v>
      </c>
      <c r="L55" s="186" t="str">
        <f t="shared" si="5"/>
        <v xml:space="preserve"> </v>
      </c>
      <c r="M55" s="450"/>
      <c r="N55" s="118"/>
      <c r="O55" s="124"/>
      <c r="R55" s="107" t="str">
        <f t="shared" si="9"/>
        <v/>
      </c>
      <c r="S55" s="106" t="str">
        <f t="shared" si="10"/>
        <v/>
      </c>
      <c r="T55" s="106" t="str">
        <f t="shared" si="11"/>
        <v/>
      </c>
      <c r="U55" s="106" t="str">
        <f t="shared" si="6"/>
        <v/>
      </c>
      <c r="V55" s="123" t="str">
        <f t="shared" si="7"/>
        <v/>
      </c>
      <c r="W55" s="123" t="str">
        <f t="shared" si="8"/>
        <v/>
      </c>
      <c r="X55" s="106" t="str">
        <f t="shared" si="3"/>
        <v/>
      </c>
      <c r="Y55" s="132" t="str">
        <f t="shared" si="4"/>
        <v/>
      </c>
      <c r="AC55" t="str">
        <f t="shared" si="22"/>
        <v/>
      </c>
    </row>
    <row r="56" spans="1:29">
      <c r="A56" s="126"/>
      <c r="B56" s="166" t="str">
        <f t="shared" si="21"/>
        <v/>
      </c>
      <c r="C56" s="111"/>
      <c r="D56" s="173" t="str">
        <f>IF(ISNUMBER(C56),C56-(COUNTIF(Data!AH:AH,Targets!B56)+COUNTIF(Data!AI:AI,Targets!B56)),"")</f>
        <v/>
      </c>
      <c r="E56" s="106"/>
      <c r="F56" s="106"/>
      <c r="G56" s="106"/>
      <c r="H56" s="106"/>
      <c r="I56" s="455"/>
      <c r="J56" s="111" t="str">
        <f t="shared" si="12"/>
        <v xml:space="preserve"> </v>
      </c>
      <c r="K56" s="186" t="str">
        <f t="shared" si="5"/>
        <v xml:space="preserve"> </v>
      </c>
      <c r="L56" s="186" t="str">
        <f t="shared" si="5"/>
        <v xml:space="preserve"> </v>
      </c>
      <c r="M56" s="450"/>
      <c r="N56" s="118"/>
      <c r="O56" s="124"/>
      <c r="R56" s="107" t="str">
        <f t="shared" si="9"/>
        <v/>
      </c>
      <c r="S56" s="106" t="str">
        <f t="shared" si="10"/>
        <v/>
      </c>
      <c r="T56" s="106" t="str">
        <f t="shared" si="11"/>
        <v/>
      </c>
      <c r="U56" s="106" t="str">
        <f t="shared" si="6"/>
        <v/>
      </c>
      <c r="V56" s="123" t="str">
        <f t="shared" si="7"/>
        <v/>
      </c>
      <c r="W56" s="123" t="str">
        <f t="shared" si="8"/>
        <v/>
      </c>
      <c r="X56" s="106" t="str">
        <f t="shared" si="3"/>
        <v/>
      </c>
      <c r="Y56" s="132" t="str">
        <f t="shared" si="4"/>
        <v/>
      </c>
      <c r="AC56" t="str">
        <f t="shared" si="22"/>
        <v/>
      </c>
    </row>
    <row r="57" spans="1:29">
      <c r="A57" s="126"/>
      <c r="B57" s="166" t="str">
        <f t="shared" si="21"/>
        <v/>
      </c>
      <c r="C57" s="111"/>
      <c r="D57" s="173" t="str">
        <f>IF(ISNUMBER(C57),C57-(COUNTIF(Data!AH:AH,Targets!B57)+COUNTIF(Data!AI:AI,Targets!B57)),"")</f>
        <v/>
      </c>
      <c r="E57" s="106"/>
      <c r="F57" s="106"/>
      <c r="G57" s="106"/>
      <c r="H57" s="106"/>
      <c r="I57" s="455"/>
      <c r="J57" s="111" t="str">
        <f t="shared" si="12"/>
        <v xml:space="preserve"> </v>
      </c>
      <c r="K57" s="186" t="str">
        <f t="shared" si="5"/>
        <v xml:space="preserve"> </v>
      </c>
      <c r="L57" s="186" t="str">
        <f t="shared" si="5"/>
        <v xml:space="preserve"> </v>
      </c>
      <c r="M57" s="450"/>
      <c r="N57" s="118"/>
      <c r="O57" s="124"/>
      <c r="R57" s="107" t="str">
        <f t="shared" si="9"/>
        <v/>
      </c>
      <c r="S57" s="106" t="str">
        <f t="shared" si="10"/>
        <v/>
      </c>
      <c r="T57" s="106" t="str">
        <f t="shared" si="11"/>
        <v/>
      </c>
      <c r="U57" s="106" t="str">
        <f t="shared" si="6"/>
        <v/>
      </c>
      <c r="V57" s="123" t="str">
        <f t="shared" si="7"/>
        <v/>
      </c>
      <c r="W57" s="123" t="str">
        <f t="shared" si="8"/>
        <v/>
      </c>
      <c r="X57" s="106" t="str">
        <f t="shared" si="3"/>
        <v/>
      </c>
      <c r="Y57" s="132" t="str">
        <f t="shared" si="4"/>
        <v/>
      </c>
      <c r="AC57" t="str">
        <f t="shared" si="22"/>
        <v/>
      </c>
    </row>
    <row r="58" spans="1:29">
      <c r="A58" s="126"/>
      <c r="B58" s="166" t="str">
        <f t="shared" si="21"/>
        <v/>
      </c>
      <c r="C58" s="111"/>
      <c r="D58" s="173" t="str">
        <f>IF(ISNUMBER(C58),C58-(COUNTIF(Data!AH:AH,Targets!B58)+COUNTIF(Data!AI:AI,Targets!B58)),"")</f>
        <v/>
      </c>
      <c r="E58" s="106"/>
      <c r="F58" s="106"/>
      <c r="G58" s="106"/>
      <c r="H58" s="106"/>
      <c r="I58" s="455"/>
      <c r="J58" s="111" t="str">
        <f t="shared" si="12"/>
        <v xml:space="preserve"> </v>
      </c>
      <c r="K58" s="186" t="str">
        <f t="shared" si="5"/>
        <v xml:space="preserve"> </v>
      </c>
      <c r="L58" s="186" t="str">
        <f t="shared" si="5"/>
        <v xml:space="preserve"> </v>
      </c>
      <c r="M58" s="450"/>
      <c r="N58" s="118"/>
      <c r="O58" s="124"/>
      <c r="R58" s="107" t="str">
        <f t="shared" si="9"/>
        <v/>
      </c>
      <c r="S58" s="106" t="str">
        <f t="shared" si="10"/>
        <v/>
      </c>
      <c r="T58" s="106" t="str">
        <f t="shared" si="11"/>
        <v/>
      </c>
      <c r="U58" s="106" t="str">
        <f t="shared" si="6"/>
        <v/>
      </c>
      <c r="V58" s="123" t="str">
        <f t="shared" si="7"/>
        <v/>
      </c>
      <c r="W58" s="123" t="str">
        <f t="shared" si="8"/>
        <v/>
      </c>
      <c r="X58" s="106" t="str">
        <f t="shared" si="3"/>
        <v/>
      </c>
      <c r="Y58" s="132" t="str">
        <f t="shared" si="4"/>
        <v/>
      </c>
      <c r="AC58" t="str">
        <f t="shared" si="22"/>
        <v/>
      </c>
    </row>
    <row r="59" spans="1:29">
      <c r="A59" s="126"/>
      <c r="B59" s="166" t="str">
        <f t="shared" si="21"/>
        <v/>
      </c>
      <c r="C59" s="111"/>
      <c r="D59" s="173" t="str">
        <f>IF(ISNUMBER(C59),C59-(COUNTIF(Data!AH:AH,Targets!B59)+COUNTIF(Data!AI:AI,Targets!B59)),"")</f>
        <v/>
      </c>
      <c r="E59" s="106"/>
      <c r="F59" s="106"/>
      <c r="G59" s="106"/>
      <c r="H59" s="106"/>
      <c r="I59" s="455"/>
      <c r="J59" s="111" t="str">
        <f t="shared" si="12"/>
        <v xml:space="preserve"> </v>
      </c>
      <c r="K59" s="186" t="str">
        <f t="shared" si="5"/>
        <v xml:space="preserve"> </v>
      </c>
      <c r="L59" s="186" t="str">
        <f t="shared" si="5"/>
        <v xml:space="preserve"> </v>
      </c>
      <c r="M59" s="450"/>
      <c r="N59" s="118"/>
      <c r="O59" s="124"/>
      <c r="R59" s="107" t="str">
        <f t="shared" si="9"/>
        <v/>
      </c>
      <c r="S59" s="106" t="str">
        <f t="shared" si="10"/>
        <v/>
      </c>
      <c r="T59" s="106" t="str">
        <f t="shared" si="11"/>
        <v/>
      </c>
      <c r="U59" s="106" t="str">
        <f t="shared" si="6"/>
        <v/>
      </c>
      <c r="V59" s="123" t="str">
        <f t="shared" si="7"/>
        <v/>
      </c>
      <c r="W59" s="123" t="str">
        <f t="shared" si="8"/>
        <v/>
      </c>
      <c r="X59" s="106" t="str">
        <f t="shared" si="3"/>
        <v/>
      </c>
      <c r="Y59" s="132" t="str">
        <f t="shared" si="4"/>
        <v/>
      </c>
      <c r="AC59" t="str">
        <f t="shared" si="22"/>
        <v/>
      </c>
    </row>
    <row r="60" spans="1:29">
      <c r="A60" s="126"/>
      <c r="B60" s="166" t="str">
        <f t="shared" si="21"/>
        <v/>
      </c>
      <c r="C60" s="111"/>
      <c r="D60" s="173" t="str">
        <f>IF(ISNUMBER(C60),C60-(COUNTIF(Data!AH:AH,Targets!B60)+COUNTIF(Data!AI:AI,Targets!B60)),"")</f>
        <v/>
      </c>
      <c r="E60" s="106"/>
      <c r="F60" s="106"/>
      <c r="G60" s="106"/>
      <c r="H60" s="106"/>
      <c r="I60" s="455"/>
      <c r="J60" s="111" t="str">
        <f t="shared" si="12"/>
        <v xml:space="preserve"> </v>
      </c>
      <c r="K60" s="186" t="str">
        <f t="shared" si="5"/>
        <v xml:space="preserve"> </v>
      </c>
      <c r="L60" s="186" t="str">
        <f t="shared" si="5"/>
        <v xml:space="preserve"> </v>
      </c>
      <c r="M60" s="450"/>
      <c r="N60" s="118"/>
      <c r="O60" s="124"/>
      <c r="R60" s="107" t="str">
        <f t="shared" si="9"/>
        <v/>
      </c>
      <c r="S60" s="106" t="str">
        <f t="shared" si="10"/>
        <v/>
      </c>
      <c r="T60" s="106" t="str">
        <f t="shared" si="11"/>
        <v/>
      </c>
      <c r="U60" s="106" t="str">
        <f t="shared" si="6"/>
        <v/>
      </c>
      <c r="V60" s="123" t="str">
        <f t="shared" si="7"/>
        <v/>
      </c>
      <c r="W60" s="123" t="str">
        <f t="shared" si="8"/>
        <v/>
      </c>
      <c r="X60" s="106" t="str">
        <f t="shared" si="3"/>
        <v/>
      </c>
      <c r="Y60" s="132" t="str">
        <f t="shared" si="4"/>
        <v/>
      </c>
      <c r="AC60" t="str">
        <f t="shared" si="22"/>
        <v/>
      </c>
    </row>
    <row r="61" spans="1:29">
      <c r="A61" s="126"/>
      <c r="B61" s="166" t="str">
        <f t="shared" si="21"/>
        <v/>
      </c>
      <c r="C61" s="111"/>
      <c r="D61" s="173" t="str">
        <f>IF(ISNUMBER(C61),C61-(COUNTIF(Data!AH:AH,Targets!B61)+COUNTIF(Data!AI:AI,Targets!B61)),"")</f>
        <v/>
      </c>
      <c r="E61" s="106"/>
      <c r="F61" s="106"/>
      <c r="G61" s="106"/>
      <c r="H61" s="106"/>
      <c r="I61" s="455"/>
      <c r="J61" s="111" t="str">
        <f t="shared" si="12"/>
        <v xml:space="preserve"> </v>
      </c>
      <c r="K61" s="186" t="str">
        <f t="shared" si="5"/>
        <v xml:space="preserve"> </v>
      </c>
      <c r="L61" s="186" t="str">
        <f t="shared" si="5"/>
        <v xml:space="preserve"> </v>
      </c>
      <c r="M61" s="450"/>
      <c r="N61" s="118"/>
      <c r="O61" s="124"/>
      <c r="R61" s="107" t="str">
        <f t="shared" si="9"/>
        <v/>
      </c>
      <c r="S61" s="106" t="str">
        <f t="shared" si="10"/>
        <v/>
      </c>
      <c r="T61" s="106" t="str">
        <f t="shared" si="11"/>
        <v/>
      </c>
      <c r="U61" s="106" t="str">
        <f t="shared" si="6"/>
        <v/>
      </c>
      <c r="V61" s="123" t="str">
        <f t="shared" si="7"/>
        <v/>
      </c>
      <c r="W61" s="123" t="str">
        <f t="shared" si="8"/>
        <v/>
      </c>
      <c r="X61" s="106" t="str">
        <f t="shared" si="3"/>
        <v/>
      </c>
      <c r="Y61" s="132" t="str">
        <f t="shared" si="4"/>
        <v/>
      </c>
      <c r="AC61" t="str">
        <f t="shared" si="22"/>
        <v/>
      </c>
    </row>
    <row r="62" spans="1:29">
      <c r="A62" s="126"/>
      <c r="B62" s="166" t="str">
        <f t="shared" si="21"/>
        <v/>
      </c>
      <c r="C62" s="111"/>
      <c r="D62" s="173" t="str">
        <f>IF(ISNUMBER(C62),C62-(COUNTIF(Data!AH:AH,Targets!B62)+COUNTIF(Data!AI:AI,Targets!B62)),"")</f>
        <v/>
      </c>
      <c r="E62" s="106"/>
      <c r="F62" s="106"/>
      <c r="G62" s="106"/>
      <c r="H62" s="106"/>
      <c r="I62" s="455"/>
      <c r="J62" s="111" t="str">
        <f t="shared" si="12"/>
        <v xml:space="preserve"> </v>
      </c>
      <c r="K62" s="186" t="str">
        <f t="shared" si="5"/>
        <v xml:space="preserve"> </v>
      </c>
      <c r="L62" s="186" t="str">
        <f t="shared" si="5"/>
        <v xml:space="preserve"> </v>
      </c>
      <c r="M62" s="450"/>
      <c r="N62" s="118"/>
      <c r="O62" s="124"/>
      <c r="R62" s="107" t="str">
        <f t="shared" si="9"/>
        <v/>
      </c>
      <c r="S62" s="106" t="str">
        <f t="shared" si="10"/>
        <v/>
      </c>
      <c r="T62" s="106" t="str">
        <f t="shared" si="11"/>
        <v/>
      </c>
      <c r="U62" s="106" t="str">
        <f t="shared" si="6"/>
        <v/>
      </c>
      <c r="V62" s="123" t="str">
        <f t="shared" si="7"/>
        <v/>
      </c>
      <c r="W62" s="123" t="str">
        <f t="shared" si="8"/>
        <v/>
      </c>
      <c r="X62" s="106" t="str">
        <f t="shared" si="3"/>
        <v/>
      </c>
      <c r="Y62" s="132" t="str">
        <f t="shared" si="4"/>
        <v/>
      </c>
      <c r="AC62" t="str">
        <f t="shared" si="22"/>
        <v/>
      </c>
    </row>
    <row r="63" spans="1:29">
      <c r="A63" s="126"/>
      <c r="B63" s="166" t="str">
        <f t="shared" si="21"/>
        <v/>
      </c>
      <c r="C63" s="111"/>
      <c r="D63" s="173" t="str">
        <f>IF(ISNUMBER(C63),C63-(COUNTIF(Data!AH:AH,Targets!B63)+COUNTIF(Data!AI:AI,Targets!B63)),"")</f>
        <v/>
      </c>
      <c r="E63" s="106"/>
      <c r="F63" s="106"/>
      <c r="G63" s="106"/>
      <c r="H63" s="106"/>
      <c r="I63" s="455"/>
      <c r="J63" s="111" t="str">
        <f t="shared" si="12"/>
        <v xml:space="preserve"> </v>
      </c>
      <c r="K63" s="186" t="str">
        <f t="shared" si="5"/>
        <v xml:space="preserve"> </v>
      </c>
      <c r="L63" s="186" t="str">
        <f t="shared" si="5"/>
        <v xml:space="preserve"> </v>
      </c>
      <c r="M63" s="450"/>
      <c r="N63" s="118"/>
      <c r="O63" s="124"/>
      <c r="R63" s="107" t="str">
        <f t="shared" si="9"/>
        <v/>
      </c>
      <c r="S63" s="106" t="str">
        <f t="shared" si="10"/>
        <v/>
      </c>
      <c r="T63" s="106" t="str">
        <f t="shared" si="11"/>
        <v/>
      </c>
      <c r="U63" s="106" t="str">
        <f t="shared" si="6"/>
        <v/>
      </c>
      <c r="V63" s="123" t="str">
        <f t="shared" si="7"/>
        <v/>
      </c>
      <c r="W63" s="123" t="str">
        <f t="shared" si="8"/>
        <v/>
      </c>
      <c r="X63" s="106" t="str">
        <f t="shared" si="3"/>
        <v/>
      </c>
      <c r="Y63" s="132" t="str">
        <f t="shared" si="4"/>
        <v/>
      </c>
      <c r="AC63" t="str">
        <f t="shared" si="22"/>
        <v/>
      </c>
    </row>
    <row r="64" spans="1:29">
      <c r="A64" s="126"/>
      <c r="B64" s="166" t="str">
        <f t="shared" si="21"/>
        <v/>
      </c>
      <c r="C64" s="111"/>
      <c r="D64" s="258" t="str">
        <f>IF(ISNUMBER(C64),C64-(COUNTIF(Data!AH:AH,Targets!B64)+COUNTIF(Data!AI:AI,Targets!B64)),"")</f>
        <v/>
      </c>
      <c r="E64" s="106"/>
      <c r="F64" s="106"/>
      <c r="G64" s="106"/>
      <c r="H64" s="106"/>
      <c r="I64" s="455"/>
      <c r="J64" s="111" t="str">
        <f t="shared" si="12"/>
        <v xml:space="preserve"> </v>
      </c>
      <c r="K64" s="186" t="str">
        <f t="shared" si="5"/>
        <v xml:space="preserve"> </v>
      </c>
      <c r="L64" s="186" t="str">
        <f t="shared" si="5"/>
        <v xml:space="preserve"> </v>
      </c>
      <c r="M64" s="450"/>
      <c r="N64" s="118"/>
      <c r="O64" s="124"/>
      <c r="R64" s="107" t="str">
        <f t="shared" si="9"/>
        <v/>
      </c>
      <c r="S64" s="106" t="str">
        <f t="shared" si="10"/>
        <v/>
      </c>
      <c r="T64" s="106" t="str">
        <f t="shared" si="11"/>
        <v/>
      </c>
      <c r="U64" s="106" t="str">
        <f t="shared" si="6"/>
        <v/>
      </c>
      <c r="V64" s="123" t="str">
        <f t="shared" si="7"/>
        <v/>
      </c>
      <c r="W64" s="123" t="str">
        <f t="shared" si="8"/>
        <v/>
      </c>
      <c r="X64" s="106" t="str">
        <f t="shared" si="3"/>
        <v/>
      </c>
      <c r="Y64" s="132" t="str">
        <f t="shared" si="4"/>
        <v/>
      </c>
      <c r="AC64" t="str">
        <f t="shared" si="22"/>
        <v/>
      </c>
    </row>
    <row r="65" spans="1:29">
      <c r="A65" s="131"/>
      <c r="B65" s="167" t="str">
        <f t="shared" si="21"/>
        <v/>
      </c>
      <c r="C65" s="112"/>
      <c r="D65" s="154" t="str">
        <f>IF(ISNUMBER(C65),C65-(COUNTIF(Data!AH:AH,Targets!B65)+COUNTIF(Data!AI:AI,Targets!B65)),"")</f>
        <v/>
      </c>
      <c r="E65" s="109"/>
      <c r="F65" s="109"/>
      <c r="G65" s="109"/>
      <c r="H65" s="109"/>
      <c r="I65" s="456"/>
      <c r="J65" s="112" t="str">
        <f t="shared" si="12"/>
        <v xml:space="preserve"> </v>
      </c>
      <c r="K65" s="197" t="str">
        <f t="shared" si="5"/>
        <v xml:space="preserve"> </v>
      </c>
      <c r="L65" s="197" t="str">
        <f t="shared" si="5"/>
        <v xml:space="preserve"> </v>
      </c>
      <c r="M65" s="451"/>
      <c r="N65" s="119"/>
      <c r="O65" s="125"/>
      <c r="R65" s="108" t="str">
        <f t="shared" si="9"/>
        <v/>
      </c>
      <c r="S65" s="109" t="str">
        <f t="shared" si="10"/>
        <v/>
      </c>
      <c r="T65" s="109" t="str">
        <f t="shared" si="11"/>
        <v/>
      </c>
      <c r="U65" s="106" t="str">
        <f t="shared" si="6"/>
        <v/>
      </c>
      <c r="V65" s="133" t="str">
        <f t="shared" si="7"/>
        <v/>
      </c>
      <c r="W65" s="133" t="str">
        <f t="shared" si="8"/>
        <v/>
      </c>
      <c r="X65" s="109" t="str">
        <f t="shared" si="3"/>
        <v/>
      </c>
      <c r="Y65" s="134" t="str">
        <f t="shared" si="4"/>
        <v/>
      </c>
      <c r="AC65" t="str">
        <f t="shared" si="22"/>
        <v/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D8F20AC-2E19-433D-AADD-A62AF0C070BE}">
          <x14:formula1>
            <xm:f>Options!$D$2:$D$50</xm:f>
          </x14:formula1>
          <xm:sqref>A13:A65</xm:sqref>
        </x14:dataValidation>
        <x14:dataValidation type="list" allowBlank="1" showInputMessage="1" showErrorMessage="1" xr:uid="{FC10E2C4-F981-4A8B-A29A-08A346D78333}">
          <x14:formula1>
            <xm:f>Options!$A$2:$A$50</xm:f>
          </x14:formula1>
          <xm:sqref>E13:E65</xm:sqref>
        </x14:dataValidation>
        <x14:dataValidation type="list" allowBlank="1" showInputMessage="1" showErrorMessage="1" xr:uid="{4AAD4E0E-6E8E-420D-8376-D67D155AAA3E}">
          <x14:formula1>
            <xm:f>Options!$B$2:$B$50</xm:f>
          </x14:formula1>
          <xm:sqref>H13:H65</xm:sqref>
        </x14:dataValidation>
        <x14:dataValidation type="list" allowBlank="1" showInputMessage="1" showErrorMessage="1" xr:uid="{6C54F61A-8A6D-435F-8B9E-558F2A4A2000}">
          <x14:formula1>
            <xm:f>Options!$C$2:$C$50</xm:f>
          </x14:formula1>
          <xm:sqref>F12:F65</xm:sqref>
        </x14:dataValidation>
        <x14:dataValidation type="list" allowBlank="1" showInputMessage="1" showErrorMessage="1" xr:uid="{9050CDD6-DEE1-4398-9648-53C5EB4BFFA2}">
          <x14:formula1>
            <xm:f>Options!$K$2:$K$51</xm:f>
          </x14:formula1>
          <xm:sqref>G12:G65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8F95-E2F4-0145-AC8C-4B6A4825720F}">
  <sheetPr codeName="Sheet4"/>
  <dimension ref="A2:E19"/>
  <sheetViews>
    <sheetView workbookViewId="0">
      <selection activeCell="E19" sqref="E19"/>
    </sheetView>
  </sheetViews>
  <sheetFormatPr defaultColWidth="11.42578125" defaultRowHeight="12.75"/>
  <cols>
    <col min="1" max="1" width="20.28515625" customWidth="1"/>
    <col min="4" max="4" width="13.7109375" customWidth="1"/>
  </cols>
  <sheetData>
    <row r="2" spans="1:5">
      <c r="A2" s="2" t="s">
        <v>285</v>
      </c>
      <c r="B2" s="103">
        <f>COUNTIF(Data!BC:BC,"Y")/Data!J2</f>
        <v>0.80412371134020622</v>
      </c>
    </row>
    <row r="3" spans="1:5">
      <c r="A3" s="3" t="s">
        <v>286</v>
      </c>
      <c r="B3" s="104">
        <f>COUNTIF(Data!BC:BC,"N")/Data!J2</f>
        <v>0.19587628865979381</v>
      </c>
    </row>
    <row r="4" spans="1:5">
      <c r="A4" s="4" t="s">
        <v>287</v>
      </c>
      <c r="B4" s="5">
        <f>Data!J2</f>
        <v>97</v>
      </c>
    </row>
    <row r="6" spans="1:5">
      <c r="D6" s="1"/>
      <c r="E6" s="1"/>
    </row>
    <row r="7" spans="1:5">
      <c r="A7" s="648" t="s">
        <v>288</v>
      </c>
      <c r="B7" s="649"/>
      <c r="D7" s="1"/>
      <c r="E7" s="1"/>
    </row>
    <row r="8" spans="1:5">
      <c r="A8" s="4" t="s">
        <v>289</v>
      </c>
      <c r="B8" s="6" t="s">
        <v>290</v>
      </c>
    </row>
    <row r="9" spans="1:5">
      <c r="A9" s="7" t="s">
        <v>291</v>
      </c>
      <c r="B9" s="8">
        <f>COUNTIF(Data!H:H,"Metal")</f>
        <v>80</v>
      </c>
    </row>
    <row r="10" spans="1:5">
      <c r="A10" s="9" t="s">
        <v>292</v>
      </c>
      <c r="B10" s="5">
        <f>COUNTIF(Data!H:H,"Polymer")</f>
        <v>17</v>
      </c>
    </row>
    <row r="14" spans="1:5">
      <c r="A14" s="648" t="s">
        <v>293</v>
      </c>
      <c r="B14" s="649"/>
    </row>
    <row r="15" spans="1:5">
      <c r="A15" s="4" t="s">
        <v>289</v>
      </c>
      <c r="B15" s="6" t="s">
        <v>290</v>
      </c>
    </row>
    <row r="16" spans="1:5">
      <c r="A16" s="7" t="s">
        <v>291</v>
      </c>
      <c r="B16" s="8">
        <f>COUNTIF(Stats!C:C,"Metal")</f>
        <v>0</v>
      </c>
    </row>
    <row r="17" spans="1:2">
      <c r="A17" s="10" t="s">
        <v>292</v>
      </c>
      <c r="B17" s="11">
        <f>COUNTIF(Stats!C:C,"Polymer")</f>
        <v>0</v>
      </c>
    </row>
    <row r="18" spans="1:2">
      <c r="A18" s="10" t="s">
        <v>294</v>
      </c>
      <c r="B18" s="11">
        <f>COUNTIF(Stats!C:C,"Ceramic")</f>
        <v>0</v>
      </c>
    </row>
    <row r="19" spans="1:2">
      <c r="A19" s="9" t="s">
        <v>295</v>
      </c>
      <c r="B19" s="5">
        <f>COUNTIF(Stats!C:C,"Composite")</f>
        <v>0</v>
      </c>
    </row>
  </sheetData>
  <mergeCells count="2">
    <mergeCell ref="A7:B7"/>
    <mergeCell ref="A14:B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51"/>
  <sheetViews>
    <sheetView workbookViewId="0">
      <selection activeCell="C17" sqref="C17"/>
    </sheetView>
  </sheetViews>
  <sheetFormatPr defaultColWidth="14.42578125" defaultRowHeight="15.75" customHeight="1"/>
  <cols>
    <col min="1" max="1" width="13.28515625" customWidth="1"/>
    <col min="2" max="2" width="10.85546875" bestFit="1" customWidth="1"/>
    <col min="3" max="3" width="27.42578125" customWidth="1"/>
    <col min="4" max="4" width="12.28515625" customWidth="1"/>
    <col min="5" max="5" width="12.7109375" bestFit="1" customWidth="1"/>
    <col min="6" max="6" width="13.42578125" style="102" customWidth="1"/>
    <col min="7" max="7" width="9" style="1" customWidth="1"/>
    <col min="8" max="8" width="6.140625" bestFit="1" customWidth="1"/>
    <col min="9" max="9" width="15.42578125" style="157" customWidth="1"/>
    <col min="10" max="10" width="11.85546875" style="68" customWidth="1"/>
    <col min="11" max="11" width="13.42578125" style="68" customWidth="1"/>
    <col min="12" max="12" width="7.42578125" bestFit="1" customWidth="1"/>
    <col min="13" max="13" width="9.42578125" style="200" bestFit="1" customWidth="1"/>
  </cols>
  <sheetData>
    <row r="1" spans="1:14" s="213" customFormat="1" ht="37.5" customHeight="1">
      <c r="A1" s="434" t="s">
        <v>296</v>
      </c>
      <c r="B1" s="434" t="s">
        <v>297</v>
      </c>
      <c r="C1" s="435" t="s">
        <v>298</v>
      </c>
      <c r="D1" s="436" t="s">
        <v>248</v>
      </c>
      <c r="E1" s="437" t="s">
        <v>299</v>
      </c>
      <c r="F1" s="438" t="s">
        <v>20</v>
      </c>
      <c r="G1" s="439" t="s">
        <v>300</v>
      </c>
      <c r="H1" s="210" t="s">
        <v>301</v>
      </c>
      <c r="I1" s="211" t="s">
        <v>15</v>
      </c>
      <c r="J1" s="211" t="s">
        <v>302</v>
      </c>
      <c r="K1" s="211" t="s">
        <v>303</v>
      </c>
      <c r="L1" s="211" t="s">
        <v>16</v>
      </c>
      <c r="M1" s="212" t="s">
        <v>17</v>
      </c>
      <c r="N1" s="255" t="s">
        <v>304</v>
      </c>
    </row>
    <row r="2" spans="1:14" ht="15.75" customHeight="1">
      <c r="A2" s="91" t="s">
        <v>66</v>
      </c>
      <c r="B2" s="91" t="s">
        <v>271</v>
      </c>
      <c r="C2" s="92" t="s">
        <v>87</v>
      </c>
      <c r="D2" s="93" t="s">
        <v>82</v>
      </c>
      <c r="E2" s="86" t="s">
        <v>71</v>
      </c>
      <c r="F2" s="99" t="s">
        <v>69</v>
      </c>
      <c r="G2" s="87">
        <v>1.4E-2</v>
      </c>
      <c r="H2" s="155" t="s">
        <v>76</v>
      </c>
      <c r="I2" s="177">
        <v>4</v>
      </c>
      <c r="J2" s="87" t="s">
        <v>70</v>
      </c>
      <c r="K2" s="87" t="s">
        <v>305</v>
      </c>
      <c r="L2" s="201" t="s">
        <v>70</v>
      </c>
      <c r="M2" s="254">
        <v>1</v>
      </c>
      <c r="N2" s="106" t="s">
        <v>306</v>
      </c>
    </row>
    <row r="3" spans="1:14" ht="15.75" customHeight="1">
      <c r="A3" s="94" t="s">
        <v>83</v>
      </c>
      <c r="B3" s="94" t="s">
        <v>276</v>
      </c>
      <c r="C3" s="95" t="s">
        <v>84</v>
      </c>
      <c r="D3" s="96" t="s">
        <v>269</v>
      </c>
      <c r="E3" s="88" t="s">
        <v>307</v>
      </c>
      <c r="F3" s="100" t="s">
        <v>308</v>
      </c>
      <c r="G3" s="89">
        <v>0.02</v>
      </c>
      <c r="H3" s="155" t="s">
        <v>73</v>
      </c>
      <c r="I3" s="177">
        <v>6</v>
      </c>
      <c r="J3" s="87" t="s">
        <v>68</v>
      </c>
      <c r="K3" s="87" t="s">
        <v>309</v>
      </c>
      <c r="L3" s="201">
        <v>2</v>
      </c>
      <c r="M3" s="254">
        <v>1.1599999999999999</v>
      </c>
      <c r="N3" s="106" t="s">
        <v>310</v>
      </c>
    </row>
    <row r="4" spans="1:14" ht="15.75" customHeight="1">
      <c r="A4" s="94" t="s">
        <v>274</v>
      </c>
      <c r="B4" s="94" t="s">
        <v>69</v>
      </c>
      <c r="C4" s="95" t="s">
        <v>98</v>
      </c>
      <c r="D4" s="97" t="s">
        <v>273</v>
      </c>
      <c r="E4" s="90"/>
      <c r="F4" s="101" t="s">
        <v>86</v>
      </c>
      <c r="G4" s="87"/>
      <c r="H4" s="87"/>
      <c r="I4" s="177">
        <v>6.35</v>
      </c>
      <c r="J4" s="87">
        <v>100</v>
      </c>
      <c r="K4" s="87" t="s">
        <v>311</v>
      </c>
      <c r="L4" s="201">
        <v>4</v>
      </c>
      <c r="M4" s="254">
        <v>1.66</v>
      </c>
      <c r="N4" s="106" t="s">
        <v>312</v>
      </c>
    </row>
    <row r="5" spans="1:14" ht="15.75" customHeight="1">
      <c r="A5" s="94" t="s">
        <v>72</v>
      </c>
      <c r="B5" s="91" t="s">
        <v>308</v>
      </c>
      <c r="C5" s="91" t="s">
        <v>100</v>
      </c>
      <c r="D5" s="98" t="s">
        <v>129</v>
      </c>
      <c r="E5" s="90"/>
      <c r="F5" s="101"/>
      <c r="G5" s="87"/>
      <c r="H5" s="87"/>
      <c r="I5" s="178">
        <v>10</v>
      </c>
      <c r="J5" s="87">
        <v>200</v>
      </c>
      <c r="K5" s="87" t="s">
        <v>215</v>
      </c>
      <c r="L5" s="201">
        <v>6</v>
      </c>
      <c r="M5" s="254" t="s">
        <v>70</v>
      </c>
      <c r="N5" s="106" t="s">
        <v>313</v>
      </c>
    </row>
    <row r="6" spans="1:14" ht="15.75" customHeight="1">
      <c r="A6" s="94" t="s">
        <v>132</v>
      </c>
      <c r="B6" s="94"/>
      <c r="C6" s="94" t="s">
        <v>108</v>
      </c>
      <c r="D6" s="98" t="s">
        <v>137</v>
      </c>
      <c r="E6" s="90"/>
      <c r="F6" s="101"/>
      <c r="G6" s="87"/>
      <c r="H6" s="87"/>
      <c r="I6" s="177">
        <v>12.65</v>
      </c>
      <c r="J6" s="87"/>
      <c r="K6" s="87" t="s">
        <v>283</v>
      </c>
      <c r="L6" s="201">
        <v>6.4</v>
      </c>
      <c r="M6" s="254"/>
      <c r="N6" s="106"/>
    </row>
    <row r="7" spans="1:14" ht="15.75" customHeight="1">
      <c r="A7" s="94"/>
      <c r="B7" s="94"/>
      <c r="C7" s="94" t="s">
        <v>139</v>
      </c>
      <c r="D7" s="98" t="s">
        <v>147</v>
      </c>
      <c r="E7" s="90"/>
      <c r="F7" s="101"/>
      <c r="G7" s="87"/>
      <c r="H7" s="87"/>
      <c r="I7" s="179"/>
      <c r="J7" s="87"/>
      <c r="K7" s="87" t="s">
        <v>213</v>
      </c>
      <c r="L7" s="201">
        <v>8</v>
      </c>
      <c r="M7" s="254"/>
      <c r="N7" s="106"/>
    </row>
    <row r="8" spans="1:14" ht="15.75" customHeight="1">
      <c r="A8" s="94"/>
      <c r="B8" s="94"/>
      <c r="C8" s="94" t="s">
        <v>120</v>
      </c>
      <c r="D8" s="98" t="s">
        <v>158</v>
      </c>
      <c r="E8" s="90"/>
      <c r="F8" s="101"/>
      <c r="G8" s="87"/>
      <c r="H8" s="87"/>
      <c r="I8" s="177"/>
      <c r="J8" s="87"/>
      <c r="K8" s="87" t="s">
        <v>314</v>
      </c>
      <c r="L8" s="201">
        <v>10</v>
      </c>
      <c r="M8" s="254"/>
      <c r="N8" s="106"/>
    </row>
    <row r="9" spans="1:14" ht="15.75" customHeight="1">
      <c r="A9" s="94"/>
      <c r="B9" s="94"/>
      <c r="C9" s="94" t="s">
        <v>315</v>
      </c>
      <c r="D9" s="98"/>
      <c r="E9" s="90"/>
      <c r="F9" s="101"/>
      <c r="G9" s="87"/>
      <c r="H9" s="87"/>
      <c r="I9" s="177"/>
      <c r="J9" s="87"/>
      <c r="K9" s="87" t="s">
        <v>70</v>
      </c>
      <c r="L9" s="201"/>
      <c r="M9" s="254"/>
      <c r="N9" s="106"/>
    </row>
    <row r="10" spans="1:14" ht="15.75" customHeight="1">
      <c r="A10" s="94"/>
      <c r="B10" s="94"/>
      <c r="C10" s="94" t="s">
        <v>316</v>
      </c>
      <c r="D10" s="98"/>
      <c r="E10" s="90"/>
      <c r="F10" s="101"/>
      <c r="G10" s="87"/>
      <c r="H10" s="87"/>
      <c r="I10" s="177"/>
      <c r="J10" s="87"/>
      <c r="K10" s="87" t="s">
        <v>68</v>
      </c>
      <c r="L10" s="201"/>
      <c r="M10" s="254"/>
      <c r="N10" s="106"/>
    </row>
    <row r="11" spans="1:14" ht="15.75" customHeight="1">
      <c r="A11" s="94"/>
      <c r="B11" s="94"/>
      <c r="C11" s="94" t="s">
        <v>70</v>
      </c>
      <c r="D11" s="98"/>
      <c r="E11" s="90"/>
      <c r="F11" s="101"/>
      <c r="G11" s="87"/>
      <c r="H11" s="87"/>
      <c r="I11" s="177"/>
      <c r="J11" s="87"/>
      <c r="K11" s="87" t="s">
        <v>270</v>
      </c>
      <c r="L11" s="201"/>
      <c r="M11" s="254"/>
      <c r="N11" s="106"/>
    </row>
    <row r="12" spans="1:14" ht="15.75" customHeight="1">
      <c r="A12" s="94"/>
      <c r="B12" s="94"/>
      <c r="C12" s="94" t="s">
        <v>133</v>
      </c>
      <c r="D12" s="98"/>
      <c r="E12" s="90"/>
      <c r="F12" s="101"/>
      <c r="G12" s="87"/>
      <c r="H12" s="87"/>
      <c r="I12" s="177"/>
      <c r="J12" s="87"/>
      <c r="K12" s="87" t="s">
        <v>317</v>
      </c>
      <c r="L12" s="201"/>
      <c r="M12" s="254"/>
      <c r="N12" s="106"/>
    </row>
    <row r="13" spans="1:14" ht="15.75" customHeight="1">
      <c r="A13" s="94"/>
      <c r="B13" s="94"/>
      <c r="C13" s="94" t="s">
        <v>98</v>
      </c>
      <c r="D13" s="98"/>
      <c r="E13" s="90"/>
      <c r="F13" s="101"/>
      <c r="G13" s="87"/>
      <c r="H13" s="87"/>
      <c r="I13" s="177"/>
      <c r="J13" s="87"/>
      <c r="K13" s="87" t="s">
        <v>318</v>
      </c>
      <c r="L13" s="201"/>
      <c r="M13" s="254"/>
      <c r="N13" s="106"/>
    </row>
    <row r="14" spans="1:14" ht="15.75" customHeight="1">
      <c r="A14" s="94"/>
      <c r="B14" s="94"/>
      <c r="C14" s="209" t="s">
        <v>84</v>
      </c>
      <c r="D14" s="98"/>
      <c r="E14" s="90"/>
      <c r="F14" s="101"/>
      <c r="G14" s="87"/>
      <c r="H14" s="87"/>
      <c r="I14" s="177"/>
      <c r="J14" s="87"/>
      <c r="K14" s="87" t="s">
        <v>319</v>
      </c>
      <c r="L14" s="201"/>
      <c r="M14" s="254"/>
      <c r="N14" s="106"/>
    </row>
    <row r="15" spans="1:14" ht="15.75" customHeight="1">
      <c r="A15" s="94"/>
      <c r="B15" s="94"/>
      <c r="C15" s="106" t="s">
        <v>91</v>
      </c>
      <c r="D15" s="208"/>
      <c r="E15" s="90"/>
      <c r="F15" s="101"/>
      <c r="G15" s="87"/>
      <c r="H15" s="87"/>
      <c r="I15" s="177"/>
      <c r="J15" s="87"/>
      <c r="K15" s="563" t="s">
        <v>320</v>
      </c>
      <c r="L15" s="201"/>
      <c r="M15" s="254"/>
      <c r="N15" s="106"/>
    </row>
    <row r="16" spans="1:14" ht="15.75" customHeight="1">
      <c r="A16" s="94"/>
      <c r="B16" s="94"/>
      <c r="C16" s="106" t="s">
        <v>111</v>
      </c>
      <c r="D16" s="208"/>
      <c r="E16" s="90"/>
      <c r="F16" s="101"/>
      <c r="G16" s="87"/>
      <c r="H16" s="87"/>
      <c r="I16" s="177"/>
      <c r="J16" s="87"/>
      <c r="K16" s="184" t="s">
        <v>275</v>
      </c>
      <c r="L16" s="562"/>
      <c r="M16" s="254"/>
      <c r="N16" s="106"/>
    </row>
    <row r="17" spans="1:14" ht="15.75" customHeight="1">
      <c r="A17" s="94"/>
      <c r="B17" s="94"/>
      <c r="C17" s="92" t="s">
        <v>159</v>
      </c>
      <c r="D17" s="98"/>
      <c r="E17" s="90"/>
      <c r="F17" s="101"/>
      <c r="G17" s="87"/>
      <c r="H17" s="87"/>
      <c r="I17" s="177"/>
      <c r="J17" s="87"/>
      <c r="K17" s="564" t="s">
        <v>279</v>
      </c>
      <c r="L17" s="201"/>
      <c r="M17" s="254"/>
      <c r="N17" s="106"/>
    </row>
    <row r="18" spans="1:14" ht="15.75" customHeight="1">
      <c r="A18" s="94"/>
      <c r="B18" s="94"/>
      <c r="C18" s="95" t="s">
        <v>130</v>
      </c>
      <c r="D18" s="98"/>
      <c r="E18" s="90"/>
      <c r="F18" s="101"/>
      <c r="G18" s="87"/>
      <c r="H18" s="87"/>
      <c r="I18" s="177"/>
      <c r="J18" s="87"/>
      <c r="K18" s="87" t="s">
        <v>321</v>
      </c>
      <c r="L18" s="201"/>
      <c r="M18" s="254"/>
      <c r="N18" s="106"/>
    </row>
    <row r="19" spans="1:14" ht="15.75" customHeight="1">
      <c r="A19" s="94"/>
      <c r="B19" s="94"/>
      <c r="C19" s="95" t="s">
        <v>322</v>
      </c>
      <c r="D19" s="98"/>
      <c r="E19" s="90"/>
      <c r="F19" s="101"/>
      <c r="G19" s="87"/>
      <c r="H19" s="87"/>
      <c r="I19" s="177"/>
      <c r="J19" s="87"/>
      <c r="K19" s="87" t="s">
        <v>323</v>
      </c>
      <c r="L19" s="201"/>
      <c r="M19" s="254"/>
      <c r="N19" s="106"/>
    </row>
    <row r="20" spans="1:14" ht="15.75" customHeight="1">
      <c r="A20" s="94"/>
      <c r="B20" s="94"/>
      <c r="C20" s="95" t="s">
        <v>148</v>
      </c>
      <c r="D20" s="98"/>
      <c r="E20" s="90"/>
      <c r="F20" s="101"/>
      <c r="G20" s="87"/>
      <c r="H20" s="87"/>
      <c r="I20" s="177"/>
      <c r="J20" s="87"/>
      <c r="K20" s="87" t="s">
        <v>324</v>
      </c>
      <c r="L20" s="201"/>
      <c r="M20" s="254"/>
      <c r="N20" s="106"/>
    </row>
    <row r="21" spans="1:14" ht="15.75" customHeight="1">
      <c r="A21" s="94"/>
      <c r="B21" s="94"/>
      <c r="C21" s="95"/>
      <c r="D21" s="98"/>
      <c r="E21" s="90"/>
      <c r="F21" s="101"/>
      <c r="G21" s="87"/>
      <c r="H21" s="87"/>
      <c r="I21" s="177"/>
      <c r="J21" s="87"/>
      <c r="K21" s="87"/>
      <c r="L21" s="201"/>
      <c r="M21" s="254"/>
      <c r="N21" s="106"/>
    </row>
    <row r="22" spans="1:14" ht="15.75" customHeight="1">
      <c r="A22" s="94"/>
      <c r="B22" s="94"/>
      <c r="C22" s="95"/>
      <c r="D22" s="98"/>
      <c r="E22" s="90"/>
      <c r="F22" s="101"/>
      <c r="G22" s="87"/>
      <c r="H22" s="87"/>
      <c r="I22" s="177"/>
      <c r="J22" s="87"/>
      <c r="K22" s="87"/>
      <c r="L22" s="201"/>
      <c r="M22" s="254"/>
      <c r="N22" s="106"/>
    </row>
    <row r="23" spans="1:14" ht="15.75" customHeight="1">
      <c r="A23" s="94"/>
      <c r="B23" s="94"/>
      <c r="C23" s="95"/>
      <c r="D23" s="98"/>
      <c r="E23" s="90"/>
      <c r="F23" s="101"/>
      <c r="G23" s="87"/>
      <c r="H23" s="87"/>
      <c r="I23" s="177"/>
      <c r="J23" s="87"/>
      <c r="K23" s="87"/>
      <c r="L23" s="201"/>
      <c r="M23" s="254"/>
      <c r="N23" s="106"/>
    </row>
    <row r="24" spans="1:14" ht="15.75" customHeight="1">
      <c r="A24" s="94"/>
      <c r="B24" s="94"/>
      <c r="C24" s="95"/>
      <c r="D24" s="98"/>
      <c r="E24" s="90"/>
      <c r="F24" s="101"/>
      <c r="G24" s="87"/>
      <c r="H24" s="87"/>
      <c r="I24" s="177"/>
      <c r="J24" s="87"/>
      <c r="K24" s="87"/>
      <c r="L24" s="201"/>
      <c r="M24" s="254"/>
      <c r="N24" s="106"/>
    </row>
    <row r="25" spans="1:14" ht="15.75" customHeight="1">
      <c r="A25" s="94"/>
      <c r="B25" s="94"/>
      <c r="C25" s="95"/>
      <c r="D25" s="98"/>
      <c r="E25" s="90"/>
      <c r="F25" s="101"/>
      <c r="G25" s="87"/>
      <c r="H25" s="87"/>
      <c r="I25" s="177"/>
      <c r="J25" s="87"/>
      <c r="K25" s="87"/>
      <c r="L25" s="201"/>
      <c r="M25" s="254"/>
      <c r="N25" s="106"/>
    </row>
    <row r="26" spans="1:14" ht="15.75" customHeight="1">
      <c r="A26" s="94"/>
      <c r="B26" s="94"/>
      <c r="C26" s="95"/>
      <c r="D26" s="98"/>
      <c r="E26" s="90"/>
      <c r="F26" s="101"/>
      <c r="G26" s="87"/>
      <c r="H26" s="87"/>
      <c r="I26" s="177"/>
      <c r="J26" s="87"/>
      <c r="K26" s="87"/>
      <c r="L26" s="201"/>
      <c r="M26" s="254"/>
      <c r="N26" s="106"/>
    </row>
    <row r="27" spans="1:14" ht="15.75" customHeight="1">
      <c r="A27" s="94"/>
      <c r="B27" s="94"/>
      <c r="C27" s="95"/>
      <c r="D27" s="98"/>
      <c r="E27" s="90"/>
      <c r="F27" s="101"/>
      <c r="G27" s="87"/>
      <c r="H27" s="87"/>
      <c r="I27" s="177"/>
      <c r="J27" s="87"/>
      <c r="K27" s="87"/>
      <c r="L27" s="201"/>
      <c r="M27" s="254"/>
      <c r="N27" s="106"/>
    </row>
    <row r="28" spans="1:14" ht="15.75" customHeight="1">
      <c r="A28" s="94"/>
      <c r="B28" s="94"/>
      <c r="C28" s="95"/>
      <c r="D28" s="98"/>
      <c r="E28" s="90"/>
      <c r="F28" s="101"/>
      <c r="G28" s="87"/>
      <c r="H28" s="87"/>
      <c r="I28" s="177"/>
      <c r="J28" s="87"/>
      <c r="K28" s="87"/>
      <c r="L28" s="201"/>
      <c r="M28" s="254"/>
      <c r="N28" s="106"/>
    </row>
    <row r="29" spans="1:14" ht="15.75" customHeight="1">
      <c r="A29" s="94"/>
      <c r="B29" s="94"/>
      <c r="C29" s="95"/>
      <c r="D29" s="98"/>
      <c r="E29" s="90"/>
      <c r="F29" s="101"/>
      <c r="G29" s="87"/>
      <c r="H29" s="87"/>
      <c r="I29" s="177"/>
      <c r="J29" s="87"/>
      <c r="K29" s="87"/>
      <c r="L29" s="201"/>
      <c r="M29" s="254"/>
      <c r="N29" s="106"/>
    </row>
    <row r="30" spans="1:14" ht="15.75" customHeight="1">
      <c r="A30" s="94"/>
      <c r="B30" s="94"/>
      <c r="C30" s="95"/>
      <c r="D30" s="98"/>
      <c r="E30" s="90"/>
      <c r="F30" s="101"/>
      <c r="G30" s="87"/>
      <c r="H30" s="87"/>
      <c r="I30" s="177"/>
      <c r="J30" s="87"/>
      <c r="K30" s="87"/>
      <c r="L30" s="201"/>
      <c r="M30" s="254"/>
      <c r="N30" s="106"/>
    </row>
    <row r="31" spans="1:14" ht="15.75" customHeight="1">
      <c r="A31" s="94"/>
      <c r="B31" s="94"/>
      <c r="C31" s="95"/>
      <c r="D31" s="98"/>
      <c r="E31" s="90"/>
      <c r="F31" s="101"/>
      <c r="G31" s="87"/>
      <c r="H31" s="87"/>
      <c r="I31" s="177"/>
      <c r="J31" s="87"/>
      <c r="K31" s="87"/>
      <c r="L31" s="201"/>
      <c r="M31" s="254"/>
      <c r="N31" s="106"/>
    </row>
    <row r="32" spans="1:14" ht="15.75" customHeight="1">
      <c r="A32" s="94"/>
      <c r="B32" s="94"/>
      <c r="C32" s="95"/>
      <c r="D32" s="98"/>
      <c r="E32" s="90"/>
      <c r="F32" s="101"/>
      <c r="G32" s="87"/>
      <c r="H32" s="87"/>
      <c r="I32" s="177"/>
      <c r="J32" s="87"/>
      <c r="K32" s="87"/>
      <c r="L32" s="201"/>
      <c r="M32" s="254"/>
      <c r="N32" s="106"/>
    </row>
    <row r="33" spans="1:14" ht="15.75" customHeight="1">
      <c r="A33" s="94"/>
      <c r="B33" s="94"/>
      <c r="C33" s="95"/>
      <c r="D33" s="98"/>
      <c r="E33" s="90"/>
      <c r="F33" s="101"/>
      <c r="G33" s="87"/>
      <c r="H33" s="87"/>
      <c r="I33" s="177"/>
      <c r="J33" s="87"/>
      <c r="K33" s="87"/>
      <c r="L33" s="201"/>
      <c r="M33" s="254"/>
      <c r="N33" s="106"/>
    </row>
    <row r="34" spans="1:14" ht="15.75" customHeight="1">
      <c r="A34" s="94"/>
      <c r="B34" s="94"/>
      <c r="C34" s="95"/>
      <c r="D34" s="98"/>
      <c r="E34" s="90"/>
      <c r="F34" s="101"/>
      <c r="G34" s="87"/>
      <c r="H34" s="87"/>
      <c r="I34" s="177"/>
      <c r="J34" s="87"/>
      <c r="K34" s="87"/>
      <c r="L34" s="201"/>
      <c r="M34" s="254"/>
      <c r="N34" s="106"/>
    </row>
    <row r="35" spans="1:14" ht="15.75" customHeight="1">
      <c r="A35" s="94"/>
      <c r="B35" s="94"/>
      <c r="C35" s="95"/>
      <c r="D35" s="98"/>
      <c r="E35" s="90"/>
      <c r="F35" s="101"/>
      <c r="G35" s="87"/>
      <c r="H35" s="87"/>
      <c r="I35" s="177"/>
      <c r="J35" s="87"/>
      <c r="K35" s="87"/>
      <c r="L35" s="201"/>
      <c r="M35" s="254"/>
      <c r="N35" s="106"/>
    </row>
    <row r="36" spans="1:14" ht="15.75" customHeight="1">
      <c r="A36" s="94"/>
      <c r="B36" s="94"/>
      <c r="C36" s="95"/>
      <c r="D36" s="98"/>
      <c r="E36" s="90"/>
      <c r="F36" s="101"/>
      <c r="G36" s="87"/>
      <c r="H36" s="87"/>
      <c r="I36" s="177"/>
      <c r="J36" s="87"/>
      <c r="K36" s="87"/>
      <c r="L36" s="201"/>
      <c r="M36" s="254"/>
      <c r="N36" s="106"/>
    </row>
    <row r="37" spans="1:14" ht="15.75" customHeight="1">
      <c r="A37" s="94"/>
      <c r="B37" s="94"/>
      <c r="C37" s="95"/>
      <c r="D37" s="98"/>
      <c r="E37" s="90"/>
      <c r="F37" s="101"/>
      <c r="G37" s="87"/>
      <c r="H37" s="87"/>
      <c r="I37" s="177"/>
      <c r="J37" s="87"/>
      <c r="K37" s="87"/>
      <c r="L37" s="201"/>
      <c r="M37" s="254"/>
      <c r="N37" s="106"/>
    </row>
    <row r="38" spans="1:14" ht="15.75" customHeight="1">
      <c r="A38" s="94"/>
      <c r="B38" s="94"/>
      <c r="C38" s="95"/>
      <c r="D38" s="98"/>
      <c r="E38" s="90"/>
      <c r="F38" s="101"/>
      <c r="G38" s="87"/>
      <c r="H38" s="87"/>
      <c r="I38" s="177"/>
      <c r="J38" s="87"/>
      <c r="K38" s="87"/>
      <c r="L38" s="201"/>
      <c r="M38" s="254"/>
      <c r="N38" s="106"/>
    </row>
    <row r="39" spans="1:14" ht="15.75" customHeight="1">
      <c r="A39" s="94"/>
      <c r="B39" s="94"/>
      <c r="C39" s="95"/>
      <c r="D39" s="98"/>
      <c r="E39" s="90"/>
      <c r="F39" s="101"/>
      <c r="G39" s="87"/>
      <c r="H39" s="87"/>
      <c r="I39" s="177"/>
      <c r="J39" s="87"/>
      <c r="K39" s="87"/>
      <c r="L39" s="201"/>
      <c r="M39" s="254"/>
      <c r="N39" s="106"/>
    </row>
    <row r="40" spans="1:14" ht="15.75" customHeight="1">
      <c r="A40" s="94"/>
      <c r="B40" s="94"/>
      <c r="C40" s="95"/>
      <c r="D40" s="98"/>
      <c r="E40" s="90"/>
      <c r="F40" s="101"/>
      <c r="G40" s="87"/>
      <c r="H40" s="87"/>
      <c r="I40" s="177"/>
      <c r="J40" s="87"/>
      <c r="K40" s="87"/>
      <c r="L40" s="201"/>
      <c r="M40" s="254"/>
      <c r="N40" s="106"/>
    </row>
    <row r="41" spans="1:14" ht="15.75" customHeight="1">
      <c r="A41" s="94"/>
      <c r="B41" s="94"/>
      <c r="C41" s="95"/>
      <c r="D41" s="98"/>
      <c r="E41" s="90"/>
      <c r="F41" s="101"/>
      <c r="G41" s="87"/>
      <c r="H41" s="87"/>
      <c r="I41" s="177"/>
      <c r="J41" s="87"/>
      <c r="K41" s="87"/>
      <c r="L41" s="201"/>
      <c r="M41" s="254"/>
      <c r="N41" s="106"/>
    </row>
    <row r="42" spans="1:14" ht="15.75" customHeight="1">
      <c r="A42" s="94"/>
      <c r="B42" s="94"/>
      <c r="C42" s="95"/>
      <c r="D42" s="98"/>
      <c r="E42" s="90"/>
      <c r="F42" s="101"/>
      <c r="G42" s="87"/>
      <c r="H42" s="87"/>
      <c r="I42" s="177"/>
      <c r="J42" s="87"/>
      <c r="K42" s="87"/>
      <c r="L42" s="201"/>
      <c r="M42" s="254"/>
      <c r="N42" s="106"/>
    </row>
    <row r="43" spans="1:14" ht="15.75" customHeight="1">
      <c r="A43" s="94"/>
      <c r="B43" s="94"/>
      <c r="C43" s="95"/>
      <c r="D43" s="98"/>
      <c r="E43" s="90"/>
      <c r="F43" s="101"/>
      <c r="G43" s="87"/>
      <c r="H43" s="87"/>
      <c r="I43" s="177"/>
      <c r="J43" s="87"/>
      <c r="K43" s="87"/>
      <c r="L43" s="201"/>
      <c r="M43" s="254"/>
      <c r="N43" s="106"/>
    </row>
    <row r="44" spans="1:14" ht="15.75" customHeight="1">
      <c r="A44" s="94"/>
      <c r="B44" s="94"/>
      <c r="C44" s="95"/>
      <c r="D44" s="98"/>
      <c r="E44" s="90"/>
      <c r="F44" s="101"/>
      <c r="G44" s="87"/>
      <c r="H44" s="87"/>
      <c r="I44" s="177"/>
      <c r="J44" s="87"/>
      <c r="K44" s="87"/>
      <c r="L44" s="201"/>
      <c r="M44" s="254"/>
      <c r="N44" s="106"/>
    </row>
    <row r="45" spans="1:14" ht="15.75" customHeight="1">
      <c r="A45" s="94"/>
      <c r="B45" s="94"/>
      <c r="C45" s="95"/>
      <c r="D45" s="98"/>
      <c r="E45" s="90"/>
      <c r="F45" s="101"/>
      <c r="G45" s="87"/>
      <c r="H45" s="87"/>
      <c r="I45" s="177"/>
      <c r="J45" s="87"/>
      <c r="K45" s="87"/>
      <c r="L45" s="201"/>
      <c r="M45" s="254"/>
      <c r="N45" s="106"/>
    </row>
    <row r="46" spans="1:14" ht="15.75" customHeight="1">
      <c r="A46" s="94"/>
      <c r="B46" s="94"/>
      <c r="C46" s="95"/>
      <c r="D46" s="98"/>
      <c r="E46" s="90"/>
      <c r="F46" s="101"/>
      <c r="G46" s="87"/>
      <c r="H46" s="87"/>
      <c r="I46" s="177"/>
      <c r="J46" s="87"/>
      <c r="K46" s="87"/>
      <c r="L46" s="201"/>
      <c r="M46" s="254"/>
      <c r="N46" s="106"/>
    </row>
    <row r="47" spans="1:14" ht="15.75" customHeight="1">
      <c r="A47" s="94"/>
      <c r="B47" s="94"/>
      <c r="C47" s="95"/>
      <c r="D47" s="98"/>
      <c r="E47" s="90"/>
      <c r="F47" s="101"/>
      <c r="G47" s="87"/>
      <c r="H47" s="87"/>
      <c r="I47" s="177"/>
      <c r="J47" s="87"/>
      <c r="K47" s="87"/>
      <c r="L47" s="201"/>
      <c r="M47" s="254"/>
      <c r="N47" s="106"/>
    </row>
    <row r="48" spans="1:14" ht="15.75" customHeight="1">
      <c r="A48" s="94"/>
      <c r="B48" s="94"/>
      <c r="C48" s="95"/>
      <c r="D48" s="98"/>
      <c r="E48" s="90"/>
      <c r="F48" s="101"/>
      <c r="G48" s="87"/>
      <c r="H48" s="87"/>
      <c r="I48" s="177"/>
      <c r="J48" s="87"/>
      <c r="K48" s="87"/>
      <c r="L48" s="201"/>
      <c r="M48" s="254"/>
      <c r="N48" s="106"/>
    </row>
    <row r="49" spans="1:14" ht="15.75" customHeight="1">
      <c r="A49" s="94"/>
      <c r="B49" s="94"/>
      <c r="C49" s="95"/>
      <c r="D49" s="98"/>
      <c r="E49" s="90"/>
      <c r="F49" s="101"/>
      <c r="G49" s="87"/>
      <c r="H49" s="87"/>
      <c r="I49" s="177"/>
      <c r="J49" s="87"/>
      <c r="K49" s="87"/>
      <c r="L49" s="201"/>
      <c r="M49" s="254"/>
      <c r="N49" s="106"/>
    </row>
    <row r="50" spans="1:14" ht="15.75" customHeight="1">
      <c r="A50" s="94"/>
      <c r="B50" s="94"/>
      <c r="C50" s="95"/>
      <c r="D50" s="98"/>
      <c r="E50" s="90"/>
      <c r="F50" s="101"/>
      <c r="G50" s="87"/>
      <c r="H50" s="87"/>
      <c r="I50" s="177"/>
      <c r="J50" s="87"/>
      <c r="K50" s="87"/>
      <c r="L50" s="201"/>
      <c r="M50" s="254"/>
      <c r="N50" s="106"/>
    </row>
    <row r="51" spans="1:14" ht="15.75" customHeight="1">
      <c r="K51" s="87"/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13B9-40A4-4DF7-9636-237FB2FABAEA}">
  <dimension ref="A1:B38"/>
  <sheetViews>
    <sheetView topLeftCell="V12" workbookViewId="0">
      <selection activeCell="D12" sqref="D12"/>
    </sheetView>
  </sheetViews>
  <sheetFormatPr defaultColWidth="8.85546875" defaultRowHeight="12.75"/>
  <cols>
    <col min="1" max="1" width="11.140625" customWidth="1"/>
    <col min="2" max="2" width="27.28515625" customWidth="1"/>
  </cols>
  <sheetData>
    <row r="1" spans="1:2">
      <c r="A1" s="440" t="s">
        <v>325</v>
      </c>
      <c r="B1" s="440" t="s">
        <v>326</v>
      </c>
    </row>
    <row r="2" spans="1:2">
      <c r="A2" s="113" t="s">
        <v>68</v>
      </c>
      <c r="B2" s="64" t="s">
        <v>327</v>
      </c>
    </row>
    <row r="3" spans="1:2">
      <c r="A3" s="114" t="s">
        <v>328</v>
      </c>
      <c r="B3" s="12" t="s">
        <v>329</v>
      </c>
    </row>
    <row r="4" spans="1:2">
      <c r="A4" s="114" t="s">
        <v>75</v>
      </c>
      <c r="B4" s="12" t="s">
        <v>330</v>
      </c>
    </row>
    <row r="5" spans="1:2">
      <c r="A5" s="114" t="s">
        <v>331</v>
      </c>
      <c r="B5" s="12" t="s">
        <v>332</v>
      </c>
    </row>
    <row r="6" spans="1:2">
      <c r="A6" s="115" t="s">
        <v>71</v>
      </c>
      <c r="B6" s="58" t="s">
        <v>333</v>
      </c>
    </row>
    <row r="7" spans="1:2">
      <c r="A7" s="115" t="s">
        <v>307</v>
      </c>
      <c r="B7" s="58" t="s">
        <v>334</v>
      </c>
    </row>
    <row r="8" spans="1:2">
      <c r="A8" s="114" t="s">
        <v>335</v>
      </c>
      <c r="B8" s="12"/>
    </row>
    <row r="9" spans="1:2">
      <c r="A9" s="114" t="s">
        <v>336</v>
      </c>
      <c r="B9" s="12"/>
    </row>
    <row r="10" spans="1:2">
      <c r="A10" s="114" t="s">
        <v>337</v>
      </c>
      <c r="B10" s="12" t="s">
        <v>338</v>
      </c>
    </row>
    <row r="11" spans="1:2">
      <c r="A11" s="114" t="s">
        <v>311</v>
      </c>
      <c r="B11" s="12" t="s">
        <v>339</v>
      </c>
    </row>
    <row r="12" spans="1:2">
      <c r="A12" s="114"/>
      <c r="B12" s="12"/>
    </row>
    <row r="13" spans="1:2">
      <c r="A13" s="114"/>
      <c r="B13" s="12"/>
    </row>
    <row r="14" spans="1:2">
      <c r="A14" s="114"/>
      <c r="B14" s="12"/>
    </row>
    <row r="15" spans="1:2">
      <c r="A15" s="114"/>
      <c r="B15" s="12"/>
    </row>
    <row r="16" spans="1:2">
      <c r="A16" s="114"/>
      <c r="B16" s="12"/>
    </row>
    <row r="17" spans="1:2">
      <c r="A17" s="114"/>
      <c r="B17" s="12"/>
    </row>
    <row r="18" spans="1:2">
      <c r="A18" s="114"/>
      <c r="B18" s="12"/>
    </row>
    <row r="19" spans="1:2">
      <c r="A19" s="114"/>
      <c r="B19" s="12"/>
    </row>
    <row r="20" spans="1:2">
      <c r="A20" s="114"/>
      <c r="B20" s="12"/>
    </row>
    <row r="21" spans="1:2">
      <c r="A21" s="114"/>
      <c r="B21" s="12"/>
    </row>
    <row r="22" spans="1:2">
      <c r="A22" s="114"/>
      <c r="B22" s="12"/>
    </row>
    <row r="23" spans="1:2">
      <c r="A23" s="114"/>
      <c r="B23" s="12"/>
    </row>
    <row r="24" spans="1:2">
      <c r="A24" s="114"/>
      <c r="B24" s="12"/>
    </row>
    <row r="25" spans="1:2">
      <c r="A25" s="114"/>
      <c r="B25" s="12"/>
    </row>
    <row r="26" spans="1:2">
      <c r="A26" s="114"/>
      <c r="B26" s="12"/>
    </row>
    <row r="27" spans="1:2">
      <c r="A27" s="114"/>
      <c r="B27" s="12"/>
    </row>
    <row r="28" spans="1:2">
      <c r="A28" s="114"/>
      <c r="B28" s="12"/>
    </row>
    <row r="29" spans="1:2">
      <c r="A29" s="114"/>
      <c r="B29" s="12"/>
    </row>
    <row r="30" spans="1:2">
      <c r="A30" s="114"/>
      <c r="B30" s="12"/>
    </row>
    <row r="31" spans="1:2">
      <c r="A31" s="114"/>
      <c r="B31" s="12"/>
    </row>
    <row r="32" spans="1:2">
      <c r="A32" s="114"/>
      <c r="B32" s="12"/>
    </row>
    <row r="33" spans="1:2">
      <c r="A33" s="114"/>
      <c r="B33" s="12"/>
    </row>
    <row r="34" spans="1:2">
      <c r="A34" s="114"/>
      <c r="B34" s="12"/>
    </row>
    <row r="35" spans="1:2">
      <c r="A35" s="114"/>
      <c r="B35" s="12"/>
    </row>
    <row r="36" spans="1:2">
      <c r="A36" s="114"/>
      <c r="B36" s="12"/>
    </row>
    <row r="37" spans="1:2">
      <c r="A37" s="114"/>
      <c r="B37" s="12"/>
    </row>
    <row r="38" spans="1:2">
      <c r="A38" s="114"/>
      <c r="B38" s="12"/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6DD37ECFD3554A96F84C3E41E3488F" ma:contentTypeVersion="9" ma:contentTypeDescription="Create a new document." ma:contentTypeScope="" ma:versionID="068252875c249e9a104722fb0244d99a">
  <xsd:schema xmlns:xsd="http://www.w3.org/2001/XMLSchema" xmlns:xs="http://www.w3.org/2001/XMLSchema" xmlns:p="http://schemas.microsoft.com/office/2006/metadata/properties" xmlns:ns2="aa3cce57-b9c9-468f-b5e7-4db6adc9738f" targetNamespace="http://schemas.microsoft.com/office/2006/metadata/properties" ma:root="true" ma:fieldsID="e4f513d32ac466b540bb5840404c8f86" ns2:_="">
    <xsd:import namespace="aa3cce57-b9c9-468f-b5e7-4db6adc973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3cce57-b9c9-468f-b5e7-4db6adc973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FC019C-2E90-41E8-AB93-63949F28AA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E852FBD-76CC-4AF7-8914-6D62EF563B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3cce57-b9c9-468f-b5e7-4db6adc973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27A3DF-C35E-48A1-821D-DED210EA3D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Data</vt:lpstr>
      <vt:lpstr>PAI Analysis Data</vt:lpstr>
      <vt:lpstr>Polymer Metrics</vt:lpstr>
      <vt:lpstr>Inventory</vt:lpstr>
      <vt:lpstr>Plots</vt:lpstr>
      <vt:lpstr>Targets</vt:lpstr>
      <vt:lpstr>Stats</vt:lpstr>
      <vt:lpstr>Options</vt:lpstr>
      <vt:lpstr>Key</vt:lpstr>
      <vt:lpstr>Velocity</vt:lpstr>
      <vt:lpstr>Projectiles</vt:lpstr>
      <vt:lpstr>Measurements</vt:lpstr>
      <vt:lpstr>MSU Work</vt:lpstr>
      <vt:lpstr>Polymer Hole Size</vt:lpstr>
      <vt:lpstr>Composite</vt:lpstr>
      <vt:lpstr>distx</vt:lpstr>
      <vt:lpstr>Metal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</dc:creator>
  <cp:keywords/>
  <dc:description/>
  <cp:lastModifiedBy>Leaverton, James D</cp:lastModifiedBy>
  <cp:revision/>
  <dcterms:created xsi:type="dcterms:W3CDTF">2019-07-29T23:05:03Z</dcterms:created>
  <dcterms:modified xsi:type="dcterms:W3CDTF">2021-01-25T18:03:46Z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0x010100B76DD37ECFD3554A96F84C3E41E3488F</vt:lpwstr>
  </property>
</Properties>
</file>