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SE\2018\GSE Transparency WG\Map\Updates May 18\"/>
    </mc:Choice>
  </mc:AlternateContent>
  <xr:revisionPtr revIDLastSave="0" documentId="8_{BC56032D-3B22-4996-905F-8CFA19758214}" xr6:coauthVersionLast="31" xr6:coauthVersionMax="31" xr10:uidLastSave="{00000000-0000-0000-0000-000000000000}"/>
  <bookViews>
    <workbookView xWindow="0" yWindow="0" windowWidth="28800" windowHeight="11925" xr2:uid="{A41EF05D-45C9-4285-8C87-4ABA3172A366}"/>
  </bookViews>
  <sheets>
    <sheet name="Storage DB " sheetId="1" r:id="rId1"/>
    <sheet name="No and vol by type" sheetId="6" r:id="rId2"/>
    <sheet name="WGV by type TWh" sheetId="2" r:id="rId3"/>
    <sheet name="WGV by status" sheetId="5" r:id="rId4"/>
    <sheet name="Investments" sheetId="7" r:id="rId5"/>
    <sheet name="Pivot" sheetId="4" r:id="rId6"/>
  </sheets>
  <externalReferences>
    <externalReference r:id="rId7"/>
  </externalReferences>
  <definedNames>
    <definedName name="_xlnm._FilterDatabase" localSheetId="0" hidden="1">'Storage DB '!$A$2:$Z$256</definedName>
  </definedNames>
  <calcPr calcId="179017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7" l="1"/>
  <c r="B25" i="7"/>
  <c r="C25" i="7" s="1"/>
  <c r="B24" i="7"/>
  <c r="B29" i="7" s="1"/>
  <c r="B21" i="7"/>
  <c r="C21" i="7" s="1"/>
  <c r="D21" i="7" s="1"/>
  <c r="E21" i="7" s="1"/>
  <c r="F21" i="7" s="1"/>
  <c r="G21" i="7" s="1"/>
  <c r="H21" i="7" s="1"/>
  <c r="I21" i="7" s="1"/>
  <c r="J21" i="7" s="1"/>
  <c r="K21" i="7" s="1"/>
  <c r="B20" i="7"/>
  <c r="B30" i="7" s="1"/>
  <c r="B19" i="7"/>
  <c r="C19" i="7" s="1"/>
  <c r="D19" i="7" s="1"/>
  <c r="E19" i="7" s="1"/>
  <c r="F19" i="7" s="1"/>
  <c r="G19" i="7" s="1"/>
  <c r="H19" i="7" s="1"/>
  <c r="I19" i="7" s="1"/>
  <c r="J19" i="7" s="1"/>
  <c r="K19" i="7" s="1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L2" i="7"/>
  <c r="L12" i="7" s="1"/>
  <c r="B31" i="7" l="1"/>
  <c r="D25" i="7"/>
  <c r="C20" i="7"/>
  <c r="D20" i="7" s="1"/>
  <c r="E20" i="7" s="1"/>
  <c r="F20" i="7" s="1"/>
  <c r="G20" i="7" s="1"/>
  <c r="H20" i="7" s="1"/>
  <c r="I20" i="7" s="1"/>
  <c r="J20" i="7" s="1"/>
  <c r="K20" i="7" s="1"/>
  <c r="C24" i="7"/>
  <c r="C26" i="7"/>
  <c r="G27" i="2"/>
  <c r="G28" i="2"/>
  <c r="G29" i="2"/>
  <c r="G30" i="2"/>
  <c r="G26" i="2"/>
  <c r="E25" i="5"/>
  <c r="E26" i="5"/>
  <c r="E27" i="5"/>
  <c r="E28" i="5"/>
  <c r="E24" i="5"/>
  <c r="C30" i="7" l="1"/>
  <c r="C31" i="7"/>
  <c r="D26" i="7"/>
  <c r="C29" i="7"/>
  <c r="D24" i="7"/>
  <c r="D30" i="7"/>
  <c r="E25" i="7"/>
  <c r="E17" i="2"/>
  <c r="E24" i="7" l="1"/>
  <c r="D29" i="7"/>
  <c r="E30" i="7"/>
  <c r="F25" i="7"/>
  <c r="E26" i="7"/>
  <c r="D31" i="7"/>
  <c r="T209" i="1"/>
  <c r="Q209" i="1"/>
  <c r="N209" i="1"/>
  <c r="T210" i="1"/>
  <c r="Q210" i="1"/>
  <c r="N210" i="1"/>
  <c r="I5" i="6"/>
  <c r="I6" i="6"/>
  <c r="I7" i="6"/>
  <c r="I4" i="6"/>
  <c r="I3" i="6"/>
  <c r="H3" i="6"/>
  <c r="H4" i="6"/>
  <c r="H5" i="6"/>
  <c r="H6" i="6"/>
  <c r="H7" i="6"/>
  <c r="C8" i="6"/>
  <c r="D8" i="6"/>
  <c r="E8" i="6"/>
  <c r="F8" i="6"/>
  <c r="G8" i="6"/>
  <c r="B8" i="6"/>
  <c r="C31" i="2"/>
  <c r="D31" i="2"/>
  <c r="E31" i="2"/>
  <c r="F31" i="2"/>
  <c r="G31" i="2"/>
  <c r="B3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C25" i="2"/>
  <c r="D25" i="2"/>
  <c r="E25" i="2"/>
  <c r="F25" i="2"/>
  <c r="B25" i="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D23" i="5"/>
  <c r="C23" i="5"/>
  <c r="B23" i="5"/>
  <c r="T170" i="1"/>
  <c r="Q170" i="1"/>
  <c r="N170" i="1"/>
  <c r="B170" i="1"/>
  <c r="G25" i="7" l="1"/>
  <c r="F30" i="7"/>
  <c r="E31" i="7"/>
  <c r="F26" i="7"/>
  <c r="F24" i="7"/>
  <c r="E29" i="7"/>
  <c r="E23" i="5"/>
  <c r="I8" i="6"/>
  <c r="H8" i="6"/>
  <c r="G25" i="2"/>
  <c r="F31" i="7" l="1"/>
  <c r="G26" i="7"/>
  <c r="F29" i="7"/>
  <c r="G24" i="7"/>
  <c r="H25" i="7"/>
  <c r="G30" i="7"/>
  <c r="C18" i="6"/>
  <c r="I18" i="6"/>
  <c r="B19" i="6"/>
  <c r="C19" i="6"/>
  <c r="D19" i="6"/>
  <c r="E19" i="6"/>
  <c r="F19" i="6"/>
  <c r="G19" i="6"/>
  <c r="H19" i="6"/>
  <c r="I19" i="6"/>
  <c r="B20" i="6"/>
  <c r="C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C17" i="6"/>
  <c r="F17" i="6"/>
  <c r="G17" i="6"/>
  <c r="H17" i="6"/>
  <c r="I17" i="6"/>
  <c r="B17" i="6"/>
  <c r="C30" i="5"/>
  <c r="D30" i="5"/>
  <c r="E30" i="5"/>
  <c r="B30" i="5"/>
  <c r="C32" i="2"/>
  <c r="D32" i="2"/>
  <c r="E32" i="2"/>
  <c r="F32" i="2"/>
  <c r="G32" i="2"/>
  <c r="B32" i="2"/>
  <c r="T256" i="1"/>
  <c r="T254" i="1"/>
  <c r="T253" i="1"/>
  <c r="T252" i="1"/>
  <c r="T251" i="1"/>
  <c r="T249" i="1"/>
  <c r="T244" i="1"/>
  <c r="T243" i="1"/>
  <c r="T242" i="1"/>
  <c r="T241" i="1"/>
  <c r="T240" i="1"/>
  <c r="T239" i="1"/>
  <c r="T238" i="1"/>
  <c r="T237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08" i="1"/>
  <c r="T207" i="1"/>
  <c r="T199" i="1"/>
  <c r="T198" i="1"/>
  <c r="T196" i="1"/>
  <c r="T194" i="1"/>
  <c r="T193" i="1"/>
  <c r="T192" i="1"/>
  <c r="T191" i="1"/>
  <c r="T190" i="1"/>
  <c r="T189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2" i="1"/>
  <c r="T141" i="1"/>
  <c r="T139" i="1"/>
  <c r="T138" i="1"/>
  <c r="T137" i="1"/>
  <c r="T136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2" i="1"/>
  <c r="T111" i="1"/>
  <c r="T110" i="1"/>
  <c r="T109" i="1"/>
  <c r="T108" i="1"/>
  <c r="T107" i="1"/>
  <c r="T104" i="1"/>
  <c r="T103" i="1"/>
  <c r="T102" i="1"/>
  <c r="T99" i="1"/>
  <c r="T98" i="1"/>
  <c r="T97" i="1"/>
  <c r="T96" i="1"/>
  <c r="T95" i="1"/>
  <c r="T94" i="1"/>
  <c r="T93" i="1"/>
  <c r="T92" i="1"/>
  <c r="T91" i="1"/>
  <c r="T90" i="1"/>
  <c r="T89" i="1"/>
  <c r="T84" i="1"/>
  <c r="T83" i="1"/>
  <c r="T82" i="1"/>
  <c r="T81" i="1"/>
  <c r="T80" i="1"/>
  <c r="T79" i="1"/>
  <c r="T78" i="1"/>
  <c r="T77" i="1"/>
  <c r="T75" i="1"/>
  <c r="T73" i="1"/>
  <c r="T70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19" i="1"/>
  <c r="T18" i="1"/>
  <c r="T17" i="1"/>
  <c r="T16" i="1"/>
  <c r="T15" i="1"/>
  <c r="T14" i="1"/>
  <c r="T13" i="1"/>
  <c r="T11" i="1"/>
  <c r="T10" i="1"/>
  <c r="T9" i="1"/>
  <c r="T8" i="1"/>
  <c r="T4" i="1"/>
  <c r="T3" i="1"/>
  <c r="Q256" i="1"/>
  <c r="Q254" i="1"/>
  <c r="Q253" i="1"/>
  <c r="Q252" i="1"/>
  <c r="Q251" i="1"/>
  <c r="Q249" i="1"/>
  <c r="Q242" i="1"/>
  <c r="Q241" i="1"/>
  <c r="Q237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08" i="1"/>
  <c r="Q207" i="1"/>
  <c r="Q199" i="1"/>
  <c r="Q198" i="1"/>
  <c r="Q196" i="1"/>
  <c r="Q194" i="1"/>
  <c r="Q193" i="1"/>
  <c r="Q192" i="1"/>
  <c r="Q191" i="1"/>
  <c r="Q190" i="1"/>
  <c r="Q189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2" i="1"/>
  <c r="Q141" i="1"/>
  <c r="Q139" i="1"/>
  <c r="Q138" i="1"/>
  <c r="Q137" i="1"/>
  <c r="Q136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2" i="1"/>
  <c r="Q111" i="1"/>
  <c r="Q110" i="1"/>
  <c r="Q109" i="1"/>
  <c r="Q108" i="1"/>
  <c r="Q107" i="1"/>
  <c r="Q104" i="1"/>
  <c r="Q103" i="1"/>
  <c r="Q102" i="1"/>
  <c r="Q99" i="1"/>
  <c r="Q98" i="1"/>
  <c r="Q97" i="1"/>
  <c r="Q96" i="1"/>
  <c r="Q95" i="1"/>
  <c r="Q94" i="1"/>
  <c r="Q93" i="1"/>
  <c r="Q92" i="1"/>
  <c r="Q91" i="1"/>
  <c r="Q90" i="1"/>
  <c r="Q89" i="1"/>
  <c r="Q84" i="1"/>
  <c r="Q83" i="1"/>
  <c r="Q82" i="1"/>
  <c r="Q81" i="1"/>
  <c r="Q80" i="1"/>
  <c r="Q79" i="1"/>
  <c r="Q78" i="1"/>
  <c r="Q77" i="1"/>
  <c r="Q75" i="1"/>
  <c r="Q73" i="1"/>
  <c r="Q70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9" i="1"/>
  <c r="Q28" i="1"/>
  <c r="Q27" i="1"/>
  <c r="Q26" i="1"/>
  <c r="Q25" i="1"/>
  <c r="Q24" i="1"/>
  <c r="Q23" i="1"/>
  <c r="Q22" i="1"/>
  <c r="Q21" i="1"/>
  <c r="Q19" i="1"/>
  <c r="Q18" i="1"/>
  <c r="Q15" i="1"/>
  <c r="Q13" i="1"/>
  <c r="Q11" i="1"/>
  <c r="Q10" i="1"/>
  <c r="Q9" i="1"/>
  <c r="Q8" i="1"/>
  <c r="Q7" i="1"/>
  <c r="Q4" i="1"/>
  <c r="Q3" i="1"/>
  <c r="N256" i="1"/>
  <c r="N253" i="1"/>
  <c r="N252" i="1"/>
  <c r="N251" i="1"/>
  <c r="N237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199" i="1"/>
  <c r="N198" i="1"/>
  <c r="N196" i="1"/>
  <c r="N194" i="1"/>
  <c r="N193" i="1"/>
  <c r="N192" i="1"/>
  <c r="N191" i="1"/>
  <c r="N190" i="1"/>
  <c r="N189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39" i="1"/>
  <c r="N138" i="1"/>
  <c r="N137" i="1"/>
  <c r="N136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2" i="1"/>
  <c r="N111" i="1"/>
  <c r="N110" i="1"/>
  <c r="N109" i="1"/>
  <c r="N108" i="1"/>
  <c r="N107" i="1"/>
  <c r="N103" i="1"/>
  <c r="N102" i="1"/>
  <c r="N99" i="1"/>
  <c r="N98" i="1"/>
  <c r="N97" i="1"/>
  <c r="N96" i="1"/>
  <c r="N95" i="1"/>
  <c r="N94" i="1"/>
  <c r="N93" i="1"/>
  <c r="N92" i="1"/>
  <c r="N91" i="1"/>
  <c r="N90" i="1"/>
  <c r="N89" i="1"/>
  <c r="N84" i="1"/>
  <c r="N83" i="1"/>
  <c r="N82" i="1"/>
  <c r="N81" i="1"/>
  <c r="N80" i="1"/>
  <c r="N79" i="1"/>
  <c r="N78" i="1"/>
  <c r="N77" i="1"/>
  <c r="N73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9" i="1"/>
  <c r="N28" i="1"/>
  <c r="N27" i="1"/>
  <c r="N26" i="1"/>
  <c r="N25" i="1"/>
  <c r="N24" i="1"/>
  <c r="N23" i="1"/>
  <c r="N22" i="1"/>
  <c r="N21" i="1"/>
  <c r="N18" i="1"/>
  <c r="N13" i="1"/>
  <c r="N11" i="1"/>
  <c r="N10" i="1"/>
  <c r="N9" i="1"/>
  <c r="N8" i="1"/>
  <c r="N7" i="1"/>
  <c r="N4" i="1"/>
  <c r="N3" i="1"/>
  <c r="O142" i="1"/>
  <c r="N142" i="1" s="1"/>
  <c r="O141" i="1"/>
  <c r="N141" i="1" s="1"/>
  <c r="G29" i="7" l="1"/>
  <c r="H24" i="7"/>
  <c r="G31" i="7"/>
  <c r="H26" i="7"/>
  <c r="H30" i="7"/>
  <c r="I25" i="7"/>
  <c r="V140" i="1"/>
  <c r="T140" i="1" s="1"/>
  <c r="S140" i="1"/>
  <c r="Q140" i="1" s="1"/>
  <c r="P140" i="1"/>
  <c r="N140" i="1" s="1"/>
  <c r="I30" i="7" l="1"/>
  <c r="J25" i="7"/>
  <c r="I24" i="7"/>
  <c r="H29" i="7"/>
  <c r="I26" i="7"/>
  <c r="H31" i="7"/>
  <c r="U255" i="1"/>
  <c r="T255" i="1" s="1"/>
  <c r="R255" i="1"/>
  <c r="Q255" i="1" s="1"/>
  <c r="M255" i="1"/>
  <c r="K255" i="1"/>
  <c r="G255" i="1"/>
  <c r="F255" i="1"/>
  <c r="A255" i="1"/>
  <c r="O254" i="1"/>
  <c r="U250" i="1"/>
  <c r="T250" i="1" s="1"/>
  <c r="R250" i="1"/>
  <c r="Q250" i="1" s="1"/>
  <c r="O250" i="1"/>
  <c r="N250" i="1" s="1"/>
  <c r="O249" i="1"/>
  <c r="N249" i="1" s="1"/>
  <c r="U248" i="1"/>
  <c r="T248" i="1" s="1"/>
  <c r="R248" i="1"/>
  <c r="Q248" i="1" s="1"/>
  <c r="O248" i="1"/>
  <c r="N248" i="1" s="1"/>
  <c r="U247" i="1"/>
  <c r="T247" i="1" s="1"/>
  <c r="R247" i="1"/>
  <c r="Q247" i="1" s="1"/>
  <c r="O247" i="1"/>
  <c r="N247" i="1" s="1"/>
  <c r="U246" i="1"/>
  <c r="T246" i="1" s="1"/>
  <c r="R246" i="1"/>
  <c r="Q246" i="1" s="1"/>
  <c r="O246" i="1"/>
  <c r="N246" i="1" s="1"/>
  <c r="U245" i="1"/>
  <c r="T245" i="1" s="1"/>
  <c r="R245" i="1"/>
  <c r="Q245" i="1" s="1"/>
  <c r="O245" i="1"/>
  <c r="N245" i="1" s="1"/>
  <c r="R244" i="1"/>
  <c r="Q244" i="1" s="1"/>
  <c r="O244" i="1"/>
  <c r="N244" i="1" s="1"/>
  <c r="R243" i="1"/>
  <c r="Q243" i="1" s="1"/>
  <c r="O243" i="1"/>
  <c r="N243" i="1" s="1"/>
  <c r="O242" i="1"/>
  <c r="N242" i="1" s="1"/>
  <c r="O241" i="1"/>
  <c r="N241" i="1" s="1"/>
  <c r="R240" i="1"/>
  <c r="Q240" i="1" s="1"/>
  <c r="O240" i="1"/>
  <c r="N240" i="1" s="1"/>
  <c r="R238" i="1"/>
  <c r="O238" i="1"/>
  <c r="N238" i="1" s="1"/>
  <c r="U236" i="1"/>
  <c r="T236" i="1" s="1"/>
  <c r="R236" i="1"/>
  <c r="Q236" i="1" s="1"/>
  <c r="O236" i="1"/>
  <c r="N236" i="1" s="1"/>
  <c r="U235" i="1"/>
  <c r="T235" i="1" s="1"/>
  <c r="R235" i="1"/>
  <c r="Q235" i="1" s="1"/>
  <c r="O235" i="1"/>
  <c r="N235" i="1" s="1"/>
  <c r="U234" i="1"/>
  <c r="T234" i="1" s="1"/>
  <c r="R234" i="1"/>
  <c r="Q234" i="1" s="1"/>
  <c r="O234" i="1"/>
  <c r="N234" i="1" s="1"/>
  <c r="U233" i="1"/>
  <c r="T233" i="1" s="1"/>
  <c r="R233" i="1"/>
  <c r="Q233" i="1" s="1"/>
  <c r="O233" i="1"/>
  <c r="N233" i="1" s="1"/>
  <c r="U232" i="1"/>
  <c r="T232" i="1" s="1"/>
  <c r="R232" i="1"/>
  <c r="Q232" i="1" s="1"/>
  <c r="O232" i="1"/>
  <c r="N232" i="1" s="1"/>
  <c r="U231" i="1"/>
  <c r="T231" i="1" s="1"/>
  <c r="R231" i="1"/>
  <c r="Q231" i="1" s="1"/>
  <c r="O231" i="1"/>
  <c r="N231" i="1" s="1"/>
  <c r="U230" i="1"/>
  <c r="T230" i="1" s="1"/>
  <c r="R230" i="1"/>
  <c r="Q230" i="1" s="1"/>
  <c r="O230" i="1"/>
  <c r="N230" i="1" s="1"/>
  <c r="U229" i="1"/>
  <c r="T229" i="1" s="1"/>
  <c r="R229" i="1"/>
  <c r="Q229" i="1" s="1"/>
  <c r="O229" i="1"/>
  <c r="N229" i="1" s="1"/>
  <c r="U228" i="1"/>
  <c r="T228" i="1" s="1"/>
  <c r="R228" i="1"/>
  <c r="Q228" i="1" s="1"/>
  <c r="O228" i="1"/>
  <c r="N228" i="1" s="1"/>
  <c r="L207" i="1"/>
  <c r="L208" i="1" s="1"/>
  <c r="K207" i="1"/>
  <c r="K208" i="1" s="1"/>
  <c r="G207" i="1"/>
  <c r="G208" i="1" s="1"/>
  <c r="F207" i="1"/>
  <c r="F208" i="1" s="1"/>
  <c r="A207" i="1"/>
  <c r="A208" i="1" s="1"/>
  <c r="U206" i="1"/>
  <c r="T206" i="1" s="1"/>
  <c r="R206" i="1"/>
  <c r="Q206" i="1" s="1"/>
  <c r="O206" i="1"/>
  <c r="U205" i="1"/>
  <c r="T205" i="1" s="1"/>
  <c r="R205" i="1"/>
  <c r="Q205" i="1" s="1"/>
  <c r="O205" i="1"/>
  <c r="N205" i="1" s="1"/>
  <c r="U204" i="1"/>
  <c r="T204" i="1" s="1"/>
  <c r="R204" i="1"/>
  <c r="Q204" i="1" s="1"/>
  <c r="O204" i="1"/>
  <c r="N204" i="1" s="1"/>
  <c r="U203" i="1"/>
  <c r="T203" i="1" s="1"/>
  <c r="R203" i="1"/>
  <c r="Q203" i="1" s="1"/>
  <c r="O203" i="1"/>
  <c r="N203" i="1" s="1"/>
  <c r="U202" i="1"/>
  <c r="T202" i="1" s="1"/>
  <c r="R202" i="1"/>
  <c r="Q202" i="1" s="1"/>
  <c r="O202" i="1"/>
  <c r="N202" i="1" s="1"/>
  <c r="O201" i="1"/>
  <c r="N201" i="1" s="1"/>
  <c r="U200" i="1"/>
  <c r="R200" i="1"/>
  <c r="O200" i="1"/>
  <c r="N200" i="1" s="1"/>
  <c r="G200" i="1"/>
  <c r="G201" i="1" s="1"/>
  <c r="F200" i="1"/>
  <c r="F201" i="1" s="1"/>
  <c r="A200" i="1"/>
  <c r="A201" i="1" s="1"/>
  <c r="U197" i="1"/>
  <c r="T197" i="1" s="1"/>
  <c r="R197" i="1"/>
  <c r="Q197" i="1" s="1"/>
  <c r="O197" i="1"/>
  <c r="N197" i="1" s="1"/>
  <c r="U195" i="1"/>
  <c r="T195" i="1" s="1"/>
  <c r="R195" i="1"/>
  <c r="Q195" i="1" s="1"/>
  <c r="O195" i="1"/>
  <c r="N195" i="1" s="1"/>
  <c r="V188" i="1"/>
  <c r="T188" i="1" s="1"/>
  <c r="S188" i="1"/>
  <c r="Q188" i="1" s="1"/>
  <c r="P188" i="1"/>
  <c r="N188" i="1" s="1"/>
  <c r="B188" i="1"/>
  <c r="V187" i="1"/>
  <c r="T187" i="1" s="1"/>
  <c r="S187" i="1"/>
  <c r="Q187" i="1" s="1"/>
  <c r="P187" i="1"/>
  <c r="N187" i="1" s="1"/>
  <c r="B187" i="1"/>
  <c r="A187" i="1"/>
  <c r="A188" i="1" s="1"/>
  <c r="B186" i="1"/>
  <c r="B184" i="1"/>
  <c r="B183" i="1"/>
  <c r="B182" i="1"/>
  <c r="B181" i="1"/>
  <c r="B180" i="1"/>
  <c r="B178" i="1"/>
  <c r="B177" i="1"/>
  <c r="K176" i="1"/>
  <c r="K180" i="1" s="1"/>
  <c r="G176" i="1"/>
  <c r="G180" i="1" s="1"/>
  <c r="B176" i="1"/>
  <c r="A176" i="1"/>
  <c r="A180" i="1" s="1"/>
  <c r="B175" i="1"/>
  <c r="B185" i="1"/>
  <c r="B179" i="1"/>
  <c r="B174" i="1"/>
  <c r="B173" i="1"/>
  <c r="B172" i="1"/>
  <c r="B171" i="1"/>
  <c r="B169" i="1"/>
  <c r="B168" i="1"/>
  <c r="B166" i="1"/>
  <c r="B165" i="1"/>
  <c r="B164" i="1"/>
  <c r="B163" i="1"/>
  <c r="B162" i="1"/>
  <c r="B161" i="1"/>
  <c r="B160" i="1"/>
  <c r="B159" i="1"/>
  <c r="B157" i="1"/>
  <c r="B156" i="1"/>
  <c r="B155" i="1"/>
  <c r="B154" i="1"/>
  <c r="B153" i="1"/>
  <c r="B152" i="1"/>
  <c r="B151" i="1"/>
  <c r="B150" i="1"/>
  <c r="B149" i="1"/>
  <c r="B148" i="1"/>
  <c r="B158" i="1"/>
  <c r="U147" i="1"/>
  <c r="T147" i="1" s="1"/>
  <c r="R147" i="1"/>
  <c r="Q147" i="1" s="1"/>
  <c r="P147" i="1"/>
  <c r="O147" i="1"/>
  <c r="B147" i="1"/>
  <c r="U146" i="1"/>
  <c r="T146" i="1" s="1"/>
  <c r="R146" i="1"/>
  <c r="Q146" i="1" s="1"/>
  <c r="O146" i="1"/>
  <c r="N146" i="1" s="1"/>
  <c r="B146" i="1"/>
  <c r="U145" i="1"/>
  <c r="T145" i="1" s="1"/>
  <c r="R145" i="1"/>
  <c r="Q145" i="1" s="1"/>
  <c r="P145" i="1"/>
  <c r="O145" i="1"/>
  <c r="B145" i="1"/>
  <c r="U144" i="1"/>
  <c r="T144" i="1" s="1"/>
  <c r="R144" i="1"/>
  <c r="Q144" i="1" s="1"/>
  <c r="P144" i="1"/>
  <c r="O144" i="1"/>
  <c r="B144" i="1"/>
  <c r="U143" i="1"/>
  <c r="T143" i="1" s="1"/>
  <c r="R143" i="1"/>
  <c r="Q143" i="1" s="1"/>
  <c r="P143" i="1"/>
  <c r="O143" i="1"/>
  <c r="B143" i="1"/>
  <c r="B142" i="1"/>
  <c r="B141" i="1"/>
  <c r="B139" i="1"/>
  <c r="B138" i="1"/>
  <c r="B137" i="1"/>
  <c r="B140" i="1"/>
  <c r="B167" i="1"/>
  <c r="B136" i="1"/>
  <c r="T134" i="1"/>
  <c r="Q134" i="1"/>
  <c r="N134" i="1"/>
  <c r="B134" i="1"/>
  <c r="T133" i="1"/>
  <c r="Q133" i="1"/>
  <c r="N133" i="1"/>
  <c r="B133" i="1"/>
  <c r="T132" i="1"/>
  <c r="Q132" i="1"/>
  <c r="N132" i="1"/>
  <c r="B132" i="1"/>
  <c r="T131" i="1"/>
  <c r="Q131" i="1"/>
  <c r="N131" i="1"/>
  <c r="B131" i="1"/>
  <c r="B135" i="1"/>
  <c r="U130" i="1"/>
  <c r="T130" i="1" s="1"/>
  <c r="R130" i="1"/>
  <c r="Q130" i="1" s="1"/>
  <c r="O130" i="1"/>
  <c r="N130" i="1" s="1"/>
  <c r="B130" i="1"/>
  <c r="B129" i="1"/>
  <c r="U100" i="1"/>
  <c r="T100" i="1" s="1"/>
  <c r="R100" i="1"/>
  <c r="Q100" i="1" s="1"/>
  <c r="O100" i="1"/>
  <c r="N100" i="1" s="1"/>
  <c r="B100" i="1"/>
  <c r="B96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U115" i="1"/>
  <c r="T115" i="1" s="1"/>
  <c r="R115" i="1"/>
  <c r="Q115" i="1" s="1"/>
  <c r="O115" i="1"/>
  <c r="N115" i="1" s="1"/>
  <c r="B115" i="1"/>
  <c r="V114" i="1"/>
  <c r="T114" i="1" s="1"/>
  <c r="S114" i="1"/>
  <c r="Q114" i="1" s="1"/>
  <c r="P114" i="1"/>
  <c r="N114" i="1" s="1"/>
  <c r="B114" i="1"/>
  <c r="U113" i="1"/>
  <c r="T113" i="1" s="1"/>
  <c r="R113" i="1"/>
  <c r="Q113" i="1" s="1"/>
  <c r="O113" i="1"/>
  <c r="N113" i="1" s="1"/>
  <c r="B113" i="1"/>
  <c r="B112" i="1"/>
  <c r="B111" i="1"/>
  <c r="B110" i="1"/>
  <c r="B109" i="1"/>
  <c r="B108" i="1"/>
  <c r="B107" i="1"/>
  <c r="U106" i="1"/>
  <c r="T106" i="1" s="1"/>
  <c r="R106" i="1"/>
  <c r="Q106" i="1" s="1"/>
  <c r="O106" i="1"/>
  <c r="N106" i="1" s="1"/>
  <c r="B106" i="1"/>
  <c r="U105" i="1"/>
  <c r="T105" i="1" s="1"/>
  <c r="R105" i="1"/>
  <c r="Q105" i="1" s="1"/>
  <c r="O105" i="1"/>
  <c r="N105" i="1" s="1"/>
  <c r="B105" i="1"/>
  <c r="P104" i="1"/>
  <c r="N104" i="1" s="1"/>
  <c r="B104" i="1"/>
  <c r="B103" i="1"/>
  <c r="B102" i="1"/>
  <c r="U101" i="1"/>
  <c r="T101" i="1" s="1"/>
  <c r="R101" i="1"/>
  <c r="Q101" i="1" s="1"/>
  <c r="O101" i="1"/>
  <c r="N101" i="1" s="1"/>
  <c r="B101" i="1"/>
  <c r="B99" i="1"/>
  <c r="B98" i="1"/>
  <c r="B97" i="1"/>
  <c r="B95" i="1"/>
  <c r="B94" i="1"/>
  <c r="B93" i="1"/>
  <c r="B92" i="1"/>
  <c r="B91" i="1"/>
  <c r="B90" i="1"/>
  <c r="B89" i="1"/>
  <c r="U88" i="1"/>
  <c r="T88" i="1" s="1"/>
  <c r="R88" i="1"/>
  <c r="Q88" i="1" s="1"/>
  <c r="O88" i="1"/>
  <c r="N88" i="1" s="1"/>
  <c r="B88" i="1"/>
  <c r="U87" i="1"/>
  <c r="T87" i="1" s="1"/>
  <c r="R87" i="1"/>
  <c r="Q87" i="1" s="1"/>
  <c r="O87" i="1"/>
  <c r="N87" i="1" s="1"/>
  <c r="B87" i="1"/>
  <c r="U86" i="1"/>
  <c r="T86" i="1" s="1"/>
  <c r="R86" i="1"/>
  <c r="Q86" i="1" s="1"/>
  <c r="O86" i="1"/>
  <c r="N86" i="1" s="1"/>
  <c r="B86" i="1"/>
  <c r="U85" i="1"/>
  <c r="T85" i="1" s="1"/>
  <c r="R85" i="1"/>
  <c r="Q85" i="1" s="1"/>
  <c r="O85" i="1"/>
  <c r="N85" i="1" s="1"/>
  <c r="B85" i="1"/>
  <c r="B84" i="1"/>
  <c r="B83" i="1"/>
  <c r="B82" i="1"/>
  <c r="B81" i="1"/>
  <c r="B80" i="1"/>
  <c r="B79" i="1"/>
  <c r="B78" i="1"/>
  <c r="B77" i="1"/>
  <c r="U76" i="1"/>
  <c r="T76" i="1" s="1"/>
  <c r="R76" i="1"/>
  <c r="Q76" i="1" s="1"/>
  <c r="K76" i="1"/>
  <c r="G76" i="1"/>
  <c r="F76" i="1"/>
  <c r="B76" i="1"/>
  <c r="A76" i="1"/>
  <c r="O75" i="1"/>
  <c r="N75" i="1" s="1"/>
  <c r="B75" i="1"/>
  <c r="U74" i="1"/>
  <c r="T74" i="1" s="1"/>
  <c r="R74" i="1"/>
  <c r="Q74" i="1" s="1"/>
  <c r="O74" i="1"/>
  <c r="N74" i="1" s="1"/>
  <c r="B74" i="1"/>
  <c r="B73" i="1"/>
  <c r="U72" i="1"/>
  <c r="T72" i="1" s="1"/>
  <c r="R72" i="1"/>
  <c r="Q72" i="1" s="1"/>
  <c r="O72" i="1"/>
  <c r="N72" i="1" s="1"/>
  <c r="B72" i="1"/>
  <c r="U71" i="1"/>
  <c r="T71" i="1" s="1"/>
  <c r="R71" i="1"/>
  <c r="Q71" i="1" s="1"/>
  <c r="O71" i="1"/>
  <c r="N71" i="1" s="1"/>
  <c r="B71" i="1"/>
  <c r="B70" i="1"/>
  <c r="U69" i="1"/>
  <c r="T69" i="1" s="1"/>
  <c r="R69" i="1"/>
  <c r="Q69" i="1" s="1"/>
  <c r="B69" i="1"/>
  <c r="O34" i="1"/>
  <c r="N34" i="1" s="1"/>
  <c r="O33" i="1"/>
  <c r="N33" i="1" s="1"/>
  <c r="O32" i="1"/>
  <c r="N32" i="1" s="1"/>
  <c r="U31" i="1"/>
  <c r="T31" i="1" s="1"/>
  <c r="R31" i="1"/>
  <c r="Q31" i="1" s="1"/>
  <c r="O31" i="1"/>
  <c r="N31" i="1" s="1"/>
  <c r="O30" i="1"/>
  <c r="N30" i="1" s="1"/>
  <c r="T20" i="1"/>
  <c r="Q20" i="1"/>
  <c r="N20" i="1"/>
  <c r="M20" i="1"/>
  <c r="L20" i="1"/>
  <c r="K20" i="1"/>
  <c r="G20" i="1"/>
  <c r="F20" i="1"/>
  <c r="A20" i="1"/>
  <c r="N19" i="1"/>
  <c r="R17" i="1"/>
  <c r="Q17" i="1" s="1"/>
  <c r="O17" i="1"/>
  <c r="N17" i="1" s="1"/>
  <c r="R16" i="1"/>
  <c r="Q16" i="1" s="1"/>
  <c r="O16" i="1"/>
  <c r="N16" i="1" s="1"/>
  <c r="O15" i="1"/>
  <c r="N15" i="1" s="1"/>
  <c r="R14" i="1"/>
  <c r="Q14" i="1" s="1"/>
  <c r="O14" i="1"/>
  <c r="N14" i="1" s="1"/>
  <c r="U12" i="1"/>
  <c r="S12" i="1"/>
  <c r="R12" i="1"/>
  <c r="P12" i="1"/>
  <c r="O12" i="1"/>
  <c r="V7" i="1"/>
  <c r="T7" i="1" s="1"/>
  <c r="U6" i="1"/>
  <c r="T6" i="1" s="1"/>
  <c r="R6" i="1"/>
  <c r="Q6" i="1" s="1"/>
  <c r="O6" i="1"/>
  <c r="N6" i="1" s="1"/>
  <c r="U5" i="1"/>
  <c r="T5" i="1" s="1"/>
  <c r="R5" i="1"/>
  <c r="Q5" i="1" s="1"/>
  <c r="O5" i="1"/>
  <c r="N5" i="1" s="1"/>
  <c r="J24" i="7" l="1"/>
  <c r="I29" i="7"/>
  <c r="K25" i="7"/>
  <c r="K30" i="7" s="1"/>
  <c r="J30" i="7"/>
  <c r="J26" i="7"/>
  <c r="I31" i="7"/>
  <c r="N147" i="1"/>
  <c r="N143" i="1"/>
  <c r="V12" i="1"/>
  <c r="T12" i="1" s="1"/>
  <c r="Q12" i="1"/>
  <c r="N12" i="1"/>
  <c r="N144" i="1"/>
  <c r="N145" i="1"/>
  <c r="O207" i="1"/>
  <c r="N207" i="1" s="1"/>
  <c r="N206" i="1"/>
  <c r="R239" i="1"/>
  <c r="Q239" i="1" s="1"/>
  <c r="Q238" i="1"/>
  <c r="R201" i="1"/>
  <c r="Q201" i="1" s="1"/>
  <c r="Q200" i="1"/>
  <c r="O255" i="1"/>
  <c r="N255" i="1" s="1"/>
  <c r="N254" i="1"/>
  <c r="U201" i="1"/>
  <c r="T201" i="1" s="1"/>
  <c r="T200" i="1"/>
  <c r="R135" i="1"/>
  <c r="Q135" i="1" s="1"/>
  <c r="O135" i="1"/>
  <c r="N135" i="1" s="1"/>
  <c r="U135" i="1"/>
  <c r="T135" i="1" s="1"/>
  <c r="O239" i="1"/>
  <c r="N239" i="1" s="1"/>
  <c r="O76" i="1"/>
  <c r="N76" i="1" s="1"/>
  <c r="J29" i="7" l="1"/>
  <c r="K24" i="7"/>
  <c r="K29" i="7" s="1"/>
  <c r="J31" i="7"/>
  <c r="K26" i="7"/>
  <c r="K31" i="7" s="1"/>
  <c r="O208" i="1"/>
  <c r="N208" i="1" s="1"/>
</calcChain>
</file>

<file path=xl/sharedStrings.xml><?xml version="1.0" encoding="utf-8"?>
<sst xmlns="http://schemas.openxmlformats.org/spreadsheetml/2006/main" count="3425" uniqueCount="568">
  <si>
    <t>Country</t>
  </si>
  <si>
    <t>Concatenate</t>
  </si>
  <si>
    <t>Country Code</t>
  </si>
  <si>
    <t>Company code</t>
  </si>
  <si>
    <t>Facility code</t>
  </si>
  <si>
    <t>Operator</t>
  </si>
  <si>
    <t>Facility/Location</t>
  </si>
  <si>
    <t>Status</t>
  </si>
  <si>
    <t>Investment</t>
  </si>
  <si>
    <t>Start-up
year</t>
  </si>
  <si>
    <t>Type</t>
  </si>
  <si>
    <t>Notes</t>
  </si>
  <si>
    <t>onshore/
offshore</t>
  </si>
  <si>
    <t>Working gas
(technical) TWh</t>
  </si>
  <si>
    <t>Working gas
TPA
TWh</t>
  </si>
  <si>
    <t>Working gas
no TPA
TWh</t>
  </si>
  <si>
    <t>Withdrawal
technical
GWh/day</t>
  </si>
  <si>
    <t>Withdrawal
TPA
GWh/day</t>
  </si>
  <si>
    <t>Withdrawal
no TPA
GWh/day</t>
  </si>
  <si>
    <t>Injection
technical
GWh/day</t>
  </si>
  <si>
    <t>Injection
TPA
GWh/day</t>
  </si>
  <si>
    <t>Injection
no TPA
GWh/day</t>
  </si>
  <si>
    <t>Access
regime</t>
  </si>
  <si>
    <t>Austria</t>
  </si>
  <si>
    <t>AT0101</t>
  </si>
  <si>
    <t>AT</t>
  </si>
  <si>
    <t>Astora</t>
  </si>
  <si>
    <t>Haidach</t>
  </si>
  <si>
    <t>operational</t>
  </si>
  <si>
    <t>existing</t>
  </si>
  <si>
    <t>Depleted field</t>
  </si>
  <si>
    <t>Gas</t>
  </si>
  <si>
    <t>Onshore</t>
  </si>
  <si>
    <t>nTPA</t>
  </si>
  <si>
    <t>y</t>
  </si>
  <si>
    <t>AT0201</t>
  </si>
  <si>
    <t>GSA</t>
  </si>
  <si>
    <t>AT0301</t>
  </si>
  <si>
    <t>OMV Gas Storage</t>
  </si>
  <si>
    <t>Schönkirchen/Reyersdorf</t>
  </si>
  <si>
    <t>AT0302</t>
  </si>
  <si>
    <t>Tallesbrunn</t>
  </si>
  <si>
    <t>AT0300</t>
  </si>
  <si>
    <t>VGS OMV Gas Storage Pool</t>
  </si>
  <si>
    <t>n</t>
  </si>
  <si>
    <t>AT0401</t>
  </si>
  <si>
    <t>RAG.Energy.Storage</t>
  </si>
  <si>
    <t>Aigelsbrunn</t>
  </si>
  <si>
    <t>AT0402</t>
  </si>
  <si>
    <t>Haidach 5</t>
  </si>
  <si>
    <t>AT0403</t>
  </si>
  <si>
    <t>Nussdorf/Zagling</t>
  </si>
  <si>
    <t>AT0404</t>
  </si>
  <si>
    <t>Puchkirchen/Haag</t>
  </si>
  <si>
    <t>AT0400</t>
  </si>
  <si>
    <t>RAG Storage  (storage group)</t>
  </si>
  <si>
    <t>AT0501</t>
  </si>
  <si>
    <t>Uniper Energy Storage</t>
  </si>
  <si>
    <t>7 Fields</t>
  </si>
  <si>
    <t>Belarus</t>
  </si>
  <si>
    <t>BY0101</t>
  </si>
  <si>
    <t>BY</t>
  </si>
  <si>
    <t>Gazprom Transgaz Belarus</t>
  </si>
  <si>
    <t>Mozyrskoye</t>
  </si>
  <si>
    <t>Salt cavern</t>
  </si>
  <si>
    <t>BY0102</t>
  </si>
  <si>
    <t>under construction</t>
  </si>
  <si>
    <t>expansion</t>
  </si>
  <si>
    <t>BY0103</t>
  </si>
  <si>
    <t>Osipovichskoye</t>
  </si>
  <si>
    <t>Aquifer</t>
  </si>
  <si>
    <t>BY0104</t>
  </si>
  <si>
    <t>Pribugskoye</t>
  </si>
  <si>
    <t>Belgium</t>
  </si>
  <si>
    <t>BE0101</t>
  </si>
  <si>
    <t>BE</t>
  </si>
  <si>
    <t>Fluxys</t>
  </si>
  <si>
    <t>Loenhout</t>
  </si>
  <si>
    <t>rTPA</t>
  </si>
  <si>
    <t>Bulgaria</t>
  </si>
  <si>
    <t>BG0101</t>
  </si>
  <si>
    <t>BG</t>
  </si>
  <si>
    <t>Bulgartransgaz</t>
  </si>
  <si>
    <t>Chiren</t>
  </si>
  <si>
    <t>BG0102</t>
  </si>
  <si>
    <t>planned</t>
  </si>
  <si>
    <t>Croatia</t>
  </si>
  <si>
    <t>HR0101</t>
  </si>
  <si>
    <t>HR</t>
  </si>
  <si>
    <t>PSP</t>
  </si>
  <si>
    <t>Okoli</t>
  </si>
  <si>
    <t>Oil</t>
  </si>
  <si>
    <t>HR0102</t>
  </si>
  <si>
    <t>Grubisno Polje</t>
  </si>
  <si>
    <t>new facility</t>
  </si>
  <si>
    <t>Czech Republic</t>
  </si>
  <si>
    <t>CZ0101</t>
  </si>
  <si>
    <t>CZ</t>
  </si>
  <si>
    <t>innogy Gas Storage</t>
  </si>
  <si>
    <t>Dolni Dunajovice</t>
  </si>
  <si>
    <t>CZ0102</t>
  </si>
  <si>
    <t>Háje</t>
  </si>
  <si>
    <t>Other</t>
  </si>
  <si>
    <t>Rock Cavern</t>
  </si>
  <si>
    <t>CZ0103</t>
  </si>
  <si>
    <t>Lobodice</t>
  </si>
  <si>
    <t>CZ0104</t>
  </si>
  <si>
    <t>Štramberk</t>
  </si>
  <si>
    <t>CZ0105</t>
  </si>
  <si>
    <t>Třanovice</t>
  </si>
  <si>
    <t>CZ0106</t>
  </si>
  <si>
    <t>Tvrdonice</t>
  </si>
  <si>
    <t>CZ0107</t>
  </si>
  <si>
    <t>VGS innogy virtual storage (storage group)</t>
  </si>
  <si>
    <t>CZ0201</t>
  </si>
  <si>
    <t>MND Gas Storage</t>
  </si>
  <si>
    <t>Uhřice</t>
  </si>
  <si>
    <t>Oil/gas</t>
  </si>
  <si>
    <t>CZ0301</t>
  </si>
  <si>
    <t>Moravia Gas Storage</t>
  </si>
  <si>
    <t>Dambořice</t>
  </si>
  <si>
    <t>CZ0302</t>
  </si>
  <si>
    <t>CZ0303</t>
  </si>
  <si>
    <t>CZ0304</t>
  </si>
  <si>
    <t>CZ0401</t>
  </si>
  <si>
    <t>SPP Storage</t>
  </si>
  <si>
    <t>Dolni Bojanovice</t>
  </si>
  <si>
    <t>Denmark</t>
  </si>
  <si>
    <t>DK0101</t>
  </si>
  <si>
    <t>DK</t>
  </si>
  <si>
    <t>Gas Storage Denmark</t>
  </si>
  <si>
    <t>Lille Torup</t>
  </si>
  <si>
    <t>DK0102</t>
  </si>
  <si>
    <t>Stenlille</t>
  </si>
  <si>
    <t>DK0100</t>
  </si>
  <si>
    <t>VGS GSD gas storage</t>
  </si>
  <si>
    <t>France</t>
  </si>
  <si>
    <t>FR0101</t>
  </si>
  <si>
    <t>FR</t>
  </si>
  <si>
    <t>Storengy</t>
  </si>
  <si>
    <t xml:space="preserve">Saline: Etrez </t>
  </si>
  <si>
    <t>FR0102</t>
  </si>
  <si>
    <t>Saline: Manosque</t>
  </si>
  <si>
    <t>FR0103</t>
  </si>
  <si>
    <t>Saline: Tersanne/Hauterives</t>
  </si>
  <si>
    <t>FR0100</t>
  </si>
  <si>
    <t>VGS Storengy Saline</t>
  </si>
  <si>
    <t>FR0104</t>
  </si>
  <si>
    <t>SEDIANE: Beynes Profond</t>
  </si>
  <si>
    <t>FR0105</t>
  </si>
  <si>
    <t>SEDIANE: Beynes Supérieur</t>
  </si>
  <si>
    <t>FR0106</t>
  </si>
  <si>
    <t>SEDIANE: Saint-Illiers-la-Ville</t>
  </si>
  <si>
    <t>VGS Storengy Sediane</t>
  </si>
  <si>
    <t>FR0107</t>
  </si>
  <si>
    <t>VGS SEDIANE B: Gournay-sur-Aronde</t>
  </si>
  <si>
    <t>FR0108</t>
  </si>
  <si>
    <t>SEDIANE LITTORAL: Céré-la-Ronde</t>
  </si>
  <si>
    <t>FR0109</t>
  </si>
  <si>
    <t>SEDIANE LITTORAL: Chémery</t>
  </si>
  <si>
    <t>VGS Storengy SEDIANE LITTORAL</t>
  </si>
  <si>
    <t>FR0111</t>
  </si>
  <si>
    <t>SERENE Nord: Cerville</t>
  </si>
  <si>
    <t>FR0112</t>
  </si>
  <si>
    <t>SERENE Nord: Germigny-sous-Coulombs</t>
  </si>
  <si>
    <t>FR0113</t>
  </si>
  <si>
    <t xml:space="preserve">SERENE Nord: Saint-Clair-sur-Epte </t>
  </si>
  <si>
    <t>FR0114</t>
  </si>
  <si>
    <t>SERENE Nord: Trois-Fontaines l'Abbaye</t>
  </si>
  <si>
    <t>Depleted Field</t>
  </si>
  <si>
    <t>VGS Storengy Serene Nord</t>
  </si>
  <si>
    <t>FR0115</t>
  </si>
  <si>
    <t>SERENE SUD: Céré-la-Ronde</t>
  </si>
  <si>
    <t>FR0116</t>
  </si>
  <si>
    <t>SERENE SUD: Chémery</t>
  </si>
  <si>
    <t>VGS Storengy SERENE SUD</t>
  </si>
  <si>
    <t>FR0118</t>
  </si>
  <si>
    <t>Alsace Sud</t>
  </si>
  <si>
    <t>FR0119</t>
  </si>
  <si>
    <t>Etrez</t>
  </si>
  <si>
    <t>FR0120</t>
  </si>
  <si>
    <t>Hauterives</t>
  </si>
  <si>
    <t>FR0201</t>
  </si>
  <si>
    <t>TERÉGA</t>
  </si>
  <si>
    <t>Izaute</t>
  </si>
  <si>
    <t>FR0202</t>
  </si>
  <si>
    <t>Lussagnet</t>
  </si>
  <si>
    <t>FR0200</t>
  </si>
  <si>
    <t>TERÉGA (storage group )</t>
  </si>
  <si>
    <t>Germany</t>
  </si>
  <si>
    <t>DE0101</t>
  </si>
  <si>
    <t>DE</t>
  </si>
  <si>
    <t>astora</t>
  </si>
  <si>
    <t>DE0102</t>
  </si>
  <si>
    <t>DE0103</t>
  </si>
  <si>
    <t>Rehden</t>
  </si>
  <si>
    <t>DE0201</t>
  </si>
  <si>
    <t>BayernUGS</t>
  </si>
  <si>
    <t>Wolfersberg</t>
  </si>
  <si>
    <t>Crystal, Friedeburger Speicherbetriebsgesellschaft</t>
  </si>
  <si>
    <t>Etzel Crystal</t>
  </si>
  <si>
    <t>DEA Speicher</t>
  </si>
  <si>
    <t>Inzenham-West</t>
  </si>
  <si>
    <t>EKB (Etzel-Kavernenbetriebsgesellschaft)</t>
  </si>
  <si>
    <t>Etzel EKB</t>
  </si>
  <si>
    <t>EnBW Energie Baden-Württemberg</t>
  </si>
  <si>
    <t>Etzel</t>
  </si>
  <si>
    <t>Eneco</t>
  </si>
  <si>
    <t>Epe Eneco</t>
  </si>
  <si>
    <t>Enovos Storage</t>
  </si>
  <si>
    <t>Frankenthal</t>
  </si>
  <si>
    <t>Erdgasspeicher Peissen</t>
  </si>
  <si>
    <t>Katharina</t>
  </si>
  <si>
    <t>EWE Gasspeicher</t>
  </si>
  <si>
    <t>EWE-Zone L (Nüttermoor/Huntorf)</t>
  </si>
  <si>
    <t>Jemgum H</t>
  </si>
  <si>
    <t>Nüttermoor H-1</t>
  </si>
  <si>
    <t>Nüttermoor H-2</t>
  </si>
  <si>
    <t>Nüttermoor H-3</t>
  </si>
  <si>
    <t>Nüttermoor L</t>
  </si>
  <si>
    <t>Rüdersdorf H</t>
  </si>
  <si>
    <t>Equinor Storage Deutschland</t>
  </si>
  <si>
    <t>Etzel EGL</t>
  </si>
  <si>
    <t>GHG - Gasspeicher Hannover</t>
  </si>
  <si>
    <t>Empelde</t>
  </si>
  <si>
    <t>Gas Union Storage</t>
  </si>
  <si>
    <t>Etzel ESE</t>
  </si>
  <si>
    <t>Reckrod</t>
  </si>
  <si>
    <t>Hansewerk</t>
  </si>
  <si>
    <t>Kiel-Rönne</t>
  </si>
  <si>
    <t>Kraak</t>
  </si>
  <si>
    <t>innogy Gas Storage NWE</t>
  </si>
  <si>
    <t>Epe L-Gas</t>
  </si>
  <si>
    <t>Epe NL</t>
  </si>
  <si>
    <t>Stassfurt</t>
  </si>
  <si>
    <t>Epe H-Gas</t>
  </si>
  <si>
    <t>Xanten</t>
  </si>
  <si>
    <t>KGE (Kommunale Gasspeichergesellschaft Epe)</t>
  </si>
  <si>
    <t>Epe KGE</t>
  </si>
  <si>
    <t>MND Gas Storage Germany</t>
  </si>
  <si>
    <t>Hähnlein</t>
  </si>
  <si>
    <t>Stockstadt</t>
  </si>
  <si>
    <t>N-ERGIE</t>
  </si>
  <si>
    <t>Eschenfelden</t>
  </si>
  <si>
    <t>Nuon</t>
  </si>
  <si>
    <t>Epe Nuon</t>
  </si>
  <si>
    <t>OMV Gas Storage Germany</t>
  </si>
  <si>
    <t>Ontras Gastransport</t>
  </si>
  <si>
    <t>Bruggraf-Bernsdorf</t>
  </si>
  <si>
    <t>No TPA</t>
  </si>
  <si>
    <t>Stadtwerke Bremen (wesernetz)</t>
  </si>
  <si>
    <t>Bremen-Lesum</t>
  </si>
  <si>
    <t>Stadtwerke Kiel</t>
  </si>
  <si>
    <t>Storengy Deutschland</t>
  </si>
  <si>
    <t>Fronhofen-Trigonodus</t>
  </si>
  <si>
    <t>Harsefeld</t>
  </si>
  <si>
    <t>Peckensen</t>
  </si>
  <si>
    <t>Schmidhausen</t>
  </si>
  <si>
    <t>Uelsen</t>
  </si>
  <si>
    <t>TEP (Thüringer Energie Speichergesellschaft)</t>
  </si>
  <si>
    <t>Allmenhausen</t>
  </si>
  <si>
    <t>terranets bw</t>
  </si>
  <si>
    <t>Sandhausen</t>
  </si>
  <si>
    <t>Total Etzel Gaslager</t>
  </si>
  <si>
    <t>TGE (Trianel Gasspeicher Epe)</t>
  </si>
  <si>
    <t>Epe Trianel</t>
  </si>
  <si>
    <t>Bierwang</t>
  </si>
  <si>
    <t>Breitbrunn</t>
  </si>
  <si>
    <t>Epe Uniper H-Gas</t>
  </si>
  <si>
    <t>Epe Uniper L-Gas</t>
  </si>
  <si>
    <t>VNG Gasspeicher</t>
  </si>
  <si>
    <t>Kirchheiligen</t>
  </si>
  <si>
    <t>Bernburg</t>
  </si>
  <si>
    <t>Bad Lauchstädt</t>
  </si>
  <si>
    <t>gas</t>
  </si>
  <si>
    <t>VGS innEXpool</t>
  </si>
  <si>
    <t>VSG MND GSG</t>
  </si>
  <si>
    <t>VGS storage hub</t>
  </si>
  <si>
    <t>Greece</t>
  </si>
  <si>
    <t>GR</t>
  </si>
  <si>
    <t>Hellenic Republic Asset Development Fund</t>
  </si>
  <si>
    <t>South Kavala</t>
  </si>
  <si>
    <t>Hungary</t>
  </si>
  <si>
    <t>HU</t>
  </si>
  <si>
    <t>Hungarian Gas Storage</t>
  </si>
  <si>
    <t>VGS MFGT</t>
  </si>
  <si>
    <t>Hajdúszoboszló</t>
  </si>
  <si>
    <t>Kardoskút</t>
  </si>
  <si>
    <t>Pusztaederics</t>
  </si>
  <si>
    <t>Zsana</t>
  </si>
  <si>
    <t>MMBF</t>
  </si>
  <si>
    <t>Szöreg-1</t>
  </si>
  <si>
    <t>Oil Field with Gas Cap</t>
  </si>
  <si>
    <t>Italy</t>
  </si>
  <si>
    <t>STOGIT</t>
  </si>
  <si>
    <t>VGS STOGIT</t>
  </si>
  <si>
    <t>IT</t>
  </si>
  <si>
    <t>Edison Stoccaggio</t>
  </si>
  <si>
    <t>VGS Edison Stoccaggio</t>
  </si>
  <si>
    <t>Cellino</t>
  </si>
  <si>
    <t>Collalto</t>
  </si>
  <si>
    <t>Cotignola &amp; San Potito</t>
  </si>
  <si>
    <t>Bagnolo Mella</t>
  </si>
  <si>
    <t>Palazzo Moroni</t>
  </si>
  <si>
    <t>Gas Plus Storage</t>
  </si>
  <si>
    <t>San Benedetto</t>
  </si>
  <si>
    <t>Poggiofiorito</t>
  </si>
  <si>
    <t>Sinarca</t>
  </si>
  <si>
    <t>Geogastock</t>
  </si>
  <si>
    <t>Cugno le Macine (Grottole-Ferrandina)</t>
  </si>
  <si>
    <t>Ital Gas Storage</t>
  </si>
  <si>
    <t>Cornegliano</t>
  </si>
  <si>
    <t>Bordolano</t>
  </si>
  <si>
    <t>Alfonsine</t>
  </si>
  <si>
    <t>Fiume Treste</t>
  </si>
  <si>
    <t>Fiume Treste F</t>
  </si>
  <si>
    <t>Minerbio</t>
  </si>
  <si>
    <t>Ripalta</t>
  </si>
  <si>
    <t>Sabbioncello</t>
  </si>
  <si>
    <t>Sergnano</t>
  </si>
  <si>
    <t>Settala</t>
  </si>
  <si>
    <t>Brugherio</t>
  </si>
  <si>
    <t>Cortemaggiore</t>
  </si>
  <si>
    <t>Latvia</t>
  </si>
  <si>
    <t>LV</t>
  </si>
  <si>
    <t>Inčukalns</t>
  </si>
  <si>
    <t>Netherlands</t>
  </si>
  <si>
    <t>NL</t>
  </si>
  <si>
    <t>EnergyStock BV</t>
  </si>
  <si>
    <t>EnergyStock</t>
  </si>
  <si>
    <t>NAM</t>
  </si>
  <si>
    <t>Grijpskerk</t>
  </si>
  <si>
    <t>Gas Field (not depleted)</t>
  </si>
  <si>
    <t>Norg (Langelo)</t>
  </si>
  <si>
    <t>TAQA Gas Storage</t>
  </si>
  <si>
    <t>Bergermeer</t>
  </si>
  <si>
    <t>TAQA Piek Gas</t>
  </si>
  <si>
    <t>Alkmaar</t>
  </si>
  <si>
    <t>Poland</t>
  </si>
  <si>
    <t>Gas Storage Poland</t>
  </si>
  <si>
    <t>PL</t>
  </si>
  <si>
    <t>Wierzchowice</t>
  </si>
  <si>
    <t>Kosakowo</t>
  </si>
  <si>
    <t>Mogilno</t>
  </si>
  <si>
    <t>Swarzow</t>
  </si>
  <si>
    <t>Brzeznica</t>
  </si>
  <si>
    <t>Strachocina</t>
  </si>
  <si>
    <t>Husow</t>
  </si>
  <si>
    <t>GAZ-SYSTEM</t>
  </si>
  <si>
    <t>Damasławek</t>
  </si>
  <si>
    <t>PGNiG</t>
  </si>
  <si>
    <t>Bonikowo</t>
  </si>
  <si>
    <t>UGS for nitrogen rich ga</t>
  </si>
  <si>
    <t>Daszewo</t>
  </si>
  <si>
    <t>Portugal</t>
  </si>
  <si>
    <t>PT0101</t>
  </si>
  <si>
    <t>PT</t>
  </si>
  <si>
    <t>REN Armazenagen</t>
  </si>
  <si>
    <t>Carriço</t>
  </si>
  <si>
    <t>Salt Cavern</t>
  </si>
  <si>
    <t>PT0102</t>
  </si>
  <si>
    <t>Romania</t>
  </si>
  <si>
    <t>RO0101</t>
  </si>
  <si>
    <t>RO</t>
  </si>
  <si>
    <t>Depogaz Ploiești (ex Romgaz)</t>
  </si>
  <si>
    <t>Balanceanca</t>
  </si>
  <si>
    <t>RO0102</t>
  </si>
  <si>
    <t>Bilciuresti</t>
  </si>
  <si>
    <t>RO0103</t>
  </si>
  <si>
    <t>Cetatea de Balta</t>
  </si>
  <si>
    <t>RO0104</t>
  </si>
  <si>
    <t>Ghercesti</t>
  </si>
  <si>
    <t>RO0105</t>
  </si>
  <si>
    <t>Moldova (Falticeni)</t>
  </si>
  <si>
    <t>RO0106</t>
  </si>
  <si>
    <t>Sarmasel</t>
  </si>
  <si>
    <t>RO0108</t>
  </si>
  <si>
    <t>RO0109</t>
  </si>
  <si>
    <t>Urziceni</t>
  </si>
  <si>
    <t>RO0201</t>
  </si>
  <si>
    <t>Depomures</t>
  </si>
  <si>
    <t>Târgu Mureş</t>
  </si>
  <si>
    <t>RO0202</t>
  </si>
  <si>
    <t>RO0203</t>
  </si>
  <si>
    <t>Russian Federation</t>
  </si>
  <si>
    <t>RU0101</t>
  </si>
  <si>
    <t>RU</t>
  </si>
  <si>
    <t>Gazprom</t>
  </si>
  <si>
    <t>Gatchinskoye</t>
  </si>
  <si>
    <t>PJSC  Chornomornaftogaz  (Crimea)</t>
  </si>
  <si>
    <t>Hlibovske</t>
  </si>
  <si>
    <t>RU0102</t>
  </si>
  <si>
    <t>Kaliningradskoe</t>
  </si>
  <si>
    <t>RU0103</t>
  </si>
  <si>
    <t>Nevskoye</t>
  </si>
  <si>
    <t>Serbia</t>
  </si>
  <si>
    <t>RS0101</t>
  </si>
  <si>
    <t>RS</t>
  </si>
  <si>
    <t>Srbijagas</t>
  </si>
  <si>
    <t>Banatski Dvor</t>
  </si>
  <si>
    <t>RS0102</t>
  </si>
  <si>
    <t>RS0103</t>
  </si>
  <si>
    <t>Slovakia</t>
  </si>
  <si>
    <t>SK0101</t>
  </si>
  <si>
    <t>SK</t>
  </si>
  <si>
    <t>Nafta</t>
  </si>
  <si>
    <t>SK0102</t>
  </si>
  <si>
    <t>Láb complex</t>
  </si>
  <si>
    <t>SK0103</t>
  </si>
  <si>
    <t>Velke Kapusany</t>
  </si>
  <si>
    <t>SK0201</t>
  </si>
  <si>
    <t>Pozagas</t>
  </si>
  <si>
    <t>Láb 4</t>
  </si>
  <si>
    <t>Spain</t>
  </si>
  <si>
    <t>ES0100</t>
  </si>
  <si>
    <t>ES</t>
  </si>
  <si>
    <t>VGS Enagas Basic UGS</t>
  </si>
  <si>
    <t>ES0101</t>
  </si>
  <si>
    <t>Enagas</t>
  </si>
  <si>
    <t>Gaviota</t>
  </si>
  <si>
    <t>Offshore</t>
  </si>
  <si>
    <t>ES0102</t>
  </si>
  <si>
    <t>Enagas/Gas Natural Fenosa</t>
  </si>
  <si>
    <t>Marismas</t>
  </si>
  <si>
    <t>ES0103</t>
  </si>
  <si>
    <t>Serrablo</t>
  </si>
  <si>
    <t>ES0104</t>
  </si>
  <si>
    <t>Yela</t>
  </si>
  <si>
    <t>Sweden</t>
  </si>
  <si>
    <t>SE0101</t>
  </si>
  <si>
    <t>SE</t>
  </si>
  <si>
    <t>Swedegas</t>
  </si>
  <si>
    <t>Skallen</t>
  </si>
  <si>
    <t>Turkey</t>
  </si>
  <si>
    <t>TR0101</t>
  </si>
  <si>
    <t>TR</t>
  </si>
  <si>
    <t>Botas</t>
  </si>
  <si>
    <t>Tuz Gölü / Aksaray Sultanhanı</t>
  </si>
  <si>
    <t>TR0102</t>
  </si>
  <si>
    <t>TR0103</t>
  </si>
  <si>
    <t>TR0201</t>
  </si>
  <si>
    <t>Gaz Depo / Toren Gas Storage and Mining</t>
  </si>
  <si>
    <t>Tarsus / Mersin</t>
  </si>
  <si>
    <t>TR0301</t>
  </si>
  <si>
    <t>Turkish Petroleum</t>
  </si>
  <si>
    <t>Silivri (Marmara)</t>
  </si>
  <si>
    <t>TR0302</t>
  </si>
  <si>
    <t>TR0303</t>
  </si>
  <si>
    <t>Ukraine</t>
  </si>
  <si>
    <t>UA0101</t>
  </si>
  <si>
    <t>UA</t>
  </si>
  <si>
    <t>PJSC Ukrtransgaz</t>
  </si>
  <si>
    <t>Bilche-Volytsko-Uherske</t>
  </si>
  <si>
    <t>UA0102</t>
  </si>
  <si>
    <t>Bohorodchanske</t>
  </si>
  <si>
    <t>UA0103</t>
  </si>
  <si>
    <t>Chervonopartyzanske</t>
  </si>
  <si>
    <t>UA0104</t>
  </si>
  <si>
    <t>Dashavske</t>
  </si>
  <si>
    <t>UA0105</t>
  </si>
  <si>
    <t>Kehychivske</t>
  </si>
  <si>
    <t>UA0106</t>
  </si>
  <si>
    <t>Krasnopopivske</t>
  </si>
  <si>
    <t>UA0107</t>
  </si>
  <si>
    <t>Olyshivske</t>
  </si>
  <si>
    <t>UA0108</t>
  </si>
  <si>
    <t>Oparske</t>
  </si>
  <si>
    <t>UA0109</t>
  </si>
  <si>
    <t xml:space="preserve">Proletarske </t>
  </si>
  <si>
    <t>UA0110</t>
  </si>
  <si>
    <t>Solokhivske</t>
  </si>
  <si>
    <t>UA0111</t>
  </si>
  <si>
    <t>Uherske (XIV-XV)</t>
  </si>
  <si>
    <t>UA0112</t>
  </si>
  <si>
    <t>Verhunske</t>
  </si>
  <si>
    <t>United Kingdom</t>
  </si>
  <si>
    <t>GB0201</t>
  </si>
  <si>
    <t>GB</t>
  </si>
  <si>
    <t>EDF Energy</t>
  </si>
  <si>
    <t>Hill Top Farm (Cheshire)</t>
  </si>
  <si>
    <t>GB0202</t>
  </si>
  <si>
    <t>GB0203</t>
  </si>
  <si>
    <t>Hole House Farm</t>
  </si>
  <si>
    <t>GB0401</t>
  </si>
  <si>
    <t>Stag Energy (instead of Gateway)</t>
  </si>
  <si>
    <t>Offshore Morecambe Bay</t>
  </si>
  <si>
    <t>GB0501</t>
  </si>
  <si>
    <t>Halite Energy Group</t>
  </si>
  <si>
    <t>Lancashire</t>
  </si>
  <si>
    <t>GB0601</t>
  </si>
  <si>
    <t>E.ON</t>
  </si>
  <si>
    <t>Cheshire (Holford GS)</t>
  </si>
  <si>
    <t>GB0701</t>
  </si>
  <si>
    <t>Humbly Grove Energy</t>
  </si>
  <si>
    <t>Hampshire</t>
  </si>
  <si>
    <t>GB0801</t>
  </si>
  <si>
    <t>InfrasStrata</t>
  </si>
  <si>
    <t>Islandmagee / County Antrim, Northern Ireland</t>
  </si>
  <si>
    <t>GB0802</t>
  </si>
  <si>
    <t>GB0803</t>
  </si>
  <si>
    <t>GB0901</t>
  </si>
  <si>
    <t>Keuper Gas Storage</t>
  </si>
  <si>
    <t>Holford Brinefield</t>
  </si>
  <si>
    <t>GB1001</t>
  </si>
  <si>
    <t>King Street Energy</t>
  </si>
  <si>
    <t>Cheshire</t>
  </si>
  <si>
    <t>GB1101</t>
  </si>
  <si>
    <t>Scottish Power</t>
  </si>
  <si>
    <t>Hatfield Moor</t>
  </si>
  <si>
    <t>GB1201</t>
  </si>
  <si>
    <t>SSE/Statoil</t>
  </si>
  <si>
    <t>Aldbrough I</t>
  </si>
  <si>
    <t>GB1203</t>
  </si>
  <si>
    <t>SSE</t>
  </si>
  <si>
    <t>Hornsea (Atwick)</t>
  </si>
  <si>
    <t>GB1301</t>
  </si>
  <si>
    <t>Storengy UK</t>
  </si>
  <si>
    <t>Stublach</t>
  </si>
  <si>
    <t>GB1302</t>
  </si>
  <si>
    <t>GB1303</t>
  </si>
  <si>
    <t>GB1401</t>
  </si>
  <si>
    <t>Holford</t>
  </si>
  <si>
    <t>bn cubic feed/35.3*11 ,4= TWh</t>
  </si>
  <si>
    <t>1 m³(n) = 1.055 m³(s)</t>
  </si>
  <si>
    <t>GCV (if not provided by operator)</t>
  </si>
  <si>
    <t>0C</t>
  </si>
  <si>
    <t>11.4</t>
  </si>
  <si>
    <r>
      <t>kWh/m</t>
    </r>
    <r>
      <rPr>
        <vertAlign val="superscript"/>
        <sz val="11"/>
        <color theme="1"/>
        <rFont val="Calibri"/>
        <family val="2"/>
        <scheme val="minor"/>
      </rPr>
      <t>3</t>
    </r>
  </si>
  <si>
    <t>15C</t>
  </si>
  <si>
    <t>20C</t>
  </si>
  <si>
    <t>GDF Suez Italy</t>
  </si>
  <si>
    <t>on hold</t>
  </si>
  <si>
    <t>Technical working gas volume</t>
  </si>
  <si>
    <t>of underground gas storage facilities per country</t>
  </si>
  <si>
    <t>(All)</t>
  </si>
  <si>
    <t>Row Labels</t>
  </si>
  <si>
    <t>Grand Total</t>
  </si>
  <si>
    <t>Column Labels</t>
  </si>
  <si>
    <t>salt cavern</t>
  </si>
  <si>
    <t>Crystalline structures</t>
  </si>
  <si>
    <t>in EU28 number</t>
  </si>
  <si>
    <t>in EU28 SUM</t>
  </si>
  <si>
    <t>EU 28 filter</t>
  </si>
  <si>
    <t>NO</t>
  </si>
  <si>
    <t>YES</t>
  </si>
  <si>
    <t>TOTAL</t>
  </si>
  <si>
    <t>EU28</t>
  </si>
  <si>
    <t>Russian Federation (European part)</t>
  </si>
  <si>
    <t>Europe</t>
  </si>
  <si>
    <t>Non EU28</t>
  </si>
  <si>
    <t>EUROPE</t>
  </si>
  <si>
    <t>Total non EU28</t>
  </si>
  <si>
    <t>TOTAL EUROPE</t>
  </si>
  <si>
    <t>Type/Status</t>
  </si>
  <si>
    <t>TWh</t>
  </si>
  <si>
    <t>no.</t>
  </si>
  <si>
    <t>non EU28</t>
  </si>
  <si>
    <t>GSF Kawerna</t>
  </si>
  <si>
    <t>GSF Sanok</t>
  </si>
  <si>
    <t>Total</t>
  </si>
  <si>
    <t xml:space="preserve">Jemgum </t>
  </si>
  <si>
    <t>Gajary-Baden</t>
  </si>
  <si>
    <t>Conexus Baltic Grid</t>
  </si>
  <si>
    <t>UA0201</t>
  </si>
  <si>
    <t>Sum of Withdrawal
technical
GWh/day</t>
  </si>
  <si>
    <t>Not specified</t>
  </si>
  <si>
    <t>Aggregated data per year</t>
  </si>
  <si>
    <t>Storage Map 2018  / data as of 1 July 2018
Legend at the end of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</si>
</sst>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0.0"/>
    <numFmt numFmtId="165" formatCode="0.0000"/>
    <numFmt numFmtId="166" formatCode="_-* #,##0.0000\ _€_-;\-* #,##0.0000\ _€_-;_-* &quot;-&quot;??\ _€_-;_-@_-"/>
    <numFmt numFmtId="167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2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13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2" fontId="5" fillId="0" borderId="0" xfId="1" applyNumberFormat="1" applyFont="1" applyFill="1" applyBorder="1"/>
    <xf numFmtId="2" fontId="6" fillId="0" borderId="0" xfId="0" applyNumberFormat="1" applyFont="1" applyBorder="1"/>
    <xf numFmtId="2" fontId="7" fillId="0" borderId="0" xfId="0" applyNumberFormat="1" applyFont="1" applyBorder="1"/>
    <xf numFmtId="2" fontId="2" fillId="0" borderId="0" xfId="0" applyNumberFormat="1" applyFont="1" applyBorder="1"/>
    <xf numFmtId="2" fontId="3" fillId="0" borderId="0" xfId="0" applyNumberFormat="1" applyFont="1" applyBorder="1"/>
    <xf numFmtId="0" fontId="0" fillId="0" borderId="0" xfId="0" applyFont="1" applyBorder="1" applyAlignment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right"/>
    </xf>
    <xf numFmtId="2" fontId="5" fillId="0" borderId="5" xfId="1" applyNumberFormat="1" applyFont="1" applyFill="1" applyBorder="1"/>
    <xf numFmtId="2" fontId="8" fillId="0" borderId="5" xfId="0" applyNumberFormat="1" applyFont="1" applyFill="1" applyBorder="1" applyAlignment="1">
      <alignment horizontal="right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2" fontId="10" fillId="4" borderId="5" xfId="1" applyNumberFormat="1" applyFont="1" applyFill="1" applyBorder="1" applyAlignment="1">
      <alignment horizontal="right"/>
    </xf>
    <xf numFmtId="2" fontId="10" fillId="4" borderId="5" xfId="0" applyNumberFormat="1" applyFont="1" applyFill="1" applyBorder="1" applyAlignment="1">
      <alignment horizontal="right"/>
    </xf>
    <xf numFmtId="2" fontId="10" fillId="4" borderId="5" xfId="1" applyNumberFormat="1" applyFont="1" applyFill="1" applyBorder="1"/>
    <xf numFmtId="0" fontId="9" fillId="0" borderId="0" xfId="0" applyFont="1"/>
    <xf numFmtId="0" fontId="11" fillId="0" borderId="5" xfId="0" applyFont="1" applyFill="1" applyBorder="1"/>
    <xf numFmtId="2" fontId="8" fillId="0" borderId="5" xfId="1" applyNumberFormat="1" applyFont="1" applyFill="1" applyBorder="1" applyAlignment="1">
      <alignment horizontal="right"/>
    </xf>
    <xf numFmtId="2" fontId="8" fillId="0" borderId="5" xfId="1" applyNumberFormat="1" applyFont="1" applyFill="1" applyBorder="1"/>
    <xf numFmtId="0" fontId="8" fillId="0" borderId="0" xfId="0" applyFont="1"/>
    <xf numFmtId="2" fontId="11" fillId="0" borderId="5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2" fontId="0" fillId="0" borderId="0" xfId="0" applyNumberFormat="1" applyFont="1" applyBorder="1"/>
    <xf numFmtId="0" fontId="3" fillId="0" borderId="0" xfId="0" applyFont="1" applyFill="1" applyBorder="1"/>
    <xf numFmtId="165" fontId="0" fillId="0" borderId="0" xfId="0" applyNumberFormat="1" applyFont="1" applyFill="1" applyBorder="1"/>
    <xf numFmtId="165" fontId="8" fillId="0" borderId="0" xfId="0" applyNumberFormat="1" applyFont="1" applyFill="1" applyBorder="1"/>
    <xf numFmtId="165" fontId="3" fillId="0" borderId="0" xfId="0" applyNumberFormat="1" applyFont="1" applyFill="1" applyBorder="1"/>
    <xf numFmtId="0" fontId="0" fillId="0" borderId="0" xfId="0" applyFont="1" applyBorder="1" applyAlignment="1">
      <alignment horizontal="center" vertical="center"/>
    </xf>
    <xf numFmtId="0" fontId="8" fillId="6" borderId="5" xfId="0" applyFont="1" applyFill="1" applyBorder="1"/>
    <xf numFmtId="0" fontId="8" fillId="6" borderId="5" xfId="0" applyFont="1" applyFill="1" applyBorder="1" applyAlignment="1">
      <alignment horizontal="center"/>
    </xf>
    <xf numFmtId="2" fontId="11" fillId="6" borderId="5" xfId="0" applyNumberFormat="1" applyFont="1" applyFill="1" applyBorder="1" applyAlignment="1">
      <alignment horizontal="right"/>
    </xf>
    <xf numFmtId="2" fontId="5" fillId="6" borderId="5" xfId="1" applyNumberFormat="1" applyFont="1" applyFill="1" applyBorder="1" applyAlignment="1">
      <alignment horizontal="right"/>
    </xf>
    <xf numFmtId="2" fontId="5" fillId="6" borderId="5" xfId="1" applyNumberFormat="1" applyFont="1" applyFill="1" applyBorder="1"/>
    <xf numFmtId="0" fontId="0" fillId="0" borderId="0" xfId="0" applyFill="1"/>
    <xf numFmtId="0" fontId="1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5" fillId="0" borderId="5" xfId="0" applyNumberFormat="1" applyFont="1" applyFill="1" applyBorder="1" applyAlignment="1">
      <alignment horizontal="right"/>
    </xf>
    <xf numFmtId="2" fontId="5" fillId="0" borderId="5" xfId="1" applyNumberFormat="1" applyFont="1" applyFill="1" applyBorder="1" applyAlignment="1">
      <alignment horizontal="right" vertical="center"/>
    </xf>
    <xf numFmtId="0" fontId="0" fillId="0" borderId="0" xfId="0" applyFont="1"/>
    <xf numFmtId="2" fontId="8" fillId="6" borderId="5" xfId="0" applyNumberFormat="1" applyFont="1" applyFill="1" applyBorder="1"/>
    <xf numFmtId="0" fontId="14" fillId="0" borderId="0" xfId="0" applyFont="1" applyAlignment="1">
      <alignment horizontal="left" vertical="center"/>
    </xf>
    <xf numFmtId="0" fontId="0" fillId="0" borderId="9" xfId="0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2" fontId="3" fillId="7" borderId="12" xfId="0" applyNumberFormat="1" applyFont="1" applyFill="1" applyBorder="1"/>
    <xf numFmtId="2" fontId="3" fillId="7" borderId="13" xfId="0" applyNumberFormat="1" applyFont="1" applyFill="1" applyBorder="1"/>
    <xf numFmtId="2" fontId="0" fillId="0" borderId="5" xfId="0" applyNumberFormat="1" applyBorder="1"/>
    <xf numFmtId="43" fontId="0" fillId="0" borderId="5" xfId="2" applyNumberFormat="1" applyFont="1" applyBorder="1" applyAlignment="1">
      <alignment vertical="center"/>
    </xf>
    <xf numFmtId="43" fontId="0" fillId="0" borderId="10" xfId="2" applyNumberFormat="1" applyFont="1" applyBorder="1" applyAlignment="1">
      <alignment vertical="center"/>
    </xf>
    <xf numFmtId="0" fontId="3" fillId="7" borderId="0" xfId="0" applyFont="1" applyFill="1" applyBorder="1" applyAlignment="1">
      <alignment horizontal="left"/>
    </xf>
    <xf numFmtId="2" fontId="0" fillId="0" borderId="7" xfId="0" applyNumberFormat="1" applyBorder="1"/>
    <xf numFmtId="2" fontId="3" fillId="7" borderId="0" xfId="0" applyNumberFormat="1" applyFont="1" applyFill="1" applyBorder="1"/>
    <xf numFmtId="2" fontId="0" fillId="0" borderId="15" xfId="0" applyNumberFormat="1" applyBorder="1"/>
    <xf numFmtId="43" fontId="3" fillId="7" borderId="17" xfId="2" applyFont="1" applyFill="1" applyBorder="1"/>
    <xf numFmtId="43" fontId="3" fillId="7" borderId="18" xfId="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0" fillId="0" borderId="0" xfId="0" applyBorder="1"/>
    <xf numFmtId="0" fontId="0" fillId="6" borderId="0" xfId="0" applyFill="1" applyBorder="1" applyAlignment="1">
      <alignment horizontal="left"/>
    </xf>
    <xf numFmtId="2" fontId="0" fillId="6" borderId="0" xfId="0" applyNumberForma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1" xfId="0" applyNumberFormat="1" applyBorder="1"/>
    <xf numFmtId="0" fontId="0" fillId="0" borderId="22" xfId="0" applyNumberFormat="1" applyBorder="1"/>
    <xf numFmtId="2" fontId="0" fillId="6" borderId="21" xfId="0" applyNumberFormat="1" applyFill="1" applyBorder="1"/>
    <xf numFmtId="0" fontId="0" fillId="6" borderId="22" xfId="0" applyNumberFormat="1" applyFill="1" applyBorder="1"/>
    <xf numFmtId="2" fontId="3" fillId="7" borderId="21" xfId="0" applyNumberFormat="1" applyFont="1" applyFill="1" applyBorder="1"/>
    <xf numFmtId="0" fontId="3" fillId="7" borderId="22" xfId="0" applyNumberFormat="1" applyFont="1" applyFill="1" applyBorder="1"/>
    <xf numFmtId="0" fontId="0" fillId="0" borderId="21" xfId="0" applyBorder="1"/>
    <xf numFmtId="0" fontId="0" fillId="0" borderId="22" xfId="0" applyBorder="1"/>
    <xf numFmtId="1" fontId="0" fillId="0" borderId="22" xfId="0" applyNumberFormat="1" applyBorder="1"/>
    <xf numFmtId="2" fontId="3" fillId="7" borderId="23" xfId="0" applyNumberFormat="1" applyFont="1" applyFill="1" applyBorder="1"/>
    <xf numFmtId="0" fontId="3" fillId="7" borderId="24" xfId="0" applyNumberFormat="1" applyFont="1" applyFill="1" applyBorder="1"/>
    <xf numFmtId="2" fontId="3" fillId="7" borderId="25" xfId="0" applyNumberFormat="1" applyFont="1" applyFill="1" applyBorder="1"/>
    <xf numFmtId="0" fontId="3" fillId="7" borderId="24" xfId="0" applyFont="1" applyFill="1" applyBorder="1" applyAlignment="1">
      <alignment horizontal="left"/>
    </xf>
    <xf numFmtId="0" fontId="0" fillId="0" borderId="25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24" xfId="0" applyBorder="1"/>
    <xf numFmtId="0" fontId="0" fillId="0" borderId="26" xfId="0" applyBorder="1" applyAlignment="1">
      <alignment horizontal="left"/>
    </xf>
    <xf numFmtId="2" fontId="0" fillId="0" borderId="27" xfId="0" applyNumberFormat="1" applyBorder="1"/>
    <xf numFmtId="1" fontId="0" fillId="0" borderId="28" xfId="0" applyNumberFormat="1" applyBorder="1"/>
    <xf numFmtId="2" fontId="0" fillId="0" borderId="29" xfId="0" applyNumberForma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right" vertical="center"/>
    </xf>
    <xf numFmtId="2" fontId="5" fillId="0" borderId="5" xfId="1" applyNumberFormat="1" applyFont="1" applyFill="1" applyBorder="1" applyAlignment="1">
      <alignment vertical="center"/>
    </xf>
    <xf numFmtId="164" fontId="8" fillId="0" borderId="5" xfId="0" applyNumberFormat="1" applyFont="1" applyFill="1" applyBorder="1" applyAlignment="1">
      <alignment horizontal="left"/>
    </xf>
    <xf numFmtId="164" fontId="8" fillId="0" borderId="5" xfId="0" applyNumberFormat="1" applyFont="1" applyFill="1" applyBorder="1"/>
    <xf numFmtId="2" fontId="8" fillId="0" borderId="5" xfId="0" applyNumberFormat="1" applyFont="1" applyFill="1" applyBorder="1"/>
    <xf numFmtId="2" fontId="8" fillId="6" borderId="5" xfId="0" applyNumberFormat="1" applyFont="1" applyFill="1" applyBorder="1" applyAlignment="1">
      <alignment horizontal="right"/>
    </xf>
    <xf numFmtId="0" fontId="16" fillId="4" borderId="5" xfId="0" applyFont="1" applyFill="1" applyBorder="1"/>
    <xf numFmtId="0" fontId="10" fillId="4" borderId="5" xfId="0" applyFont="1" applyFill="1" applyBorder="1" applyAlignment="1">
      <alignment horizontal="right"/>
    </xf>
    <xf numFmtId="2" fontId="17" fillId="0" borderId="5" xfId="0" applyNumberFormat="1" applyFont="1" applyFill="1" applyBorder="1" applyAlignment="1">
      <alignment horizontal="right"/>
    </xf>
    <xf numFmtId="0" fontId="18" fillId="0" borderId="5" xfId="0" applyFont="1" applyFill="1" applyBorder="1"/>
    <xf numFmtId="0" fontId="18" fillId="6" borderId="5" xfId="0" applyFont="1" applyFill="1" applyBorder="1"/>
    <xf numFmtId="2" fontId="8" fillId="0" borderId="5" xfId="0" applyNumberFormat="1" applyFont="1" applyFill="1" applyBorder="1" applyAlignment="1">
      <alignment horizontal="right" wrapText="1"/>
    </xf>
    <xf numFmtId="0" fontId="17" fillId="0" borderId="5" xfId="0" applyFont="1" applyFill="1" applyBorder="1" applyAlignment="1">
      <alignment horizontal="center"/>
    </xf>
    <xf numFmtId="2" fontId="5" fillId="0" borderId="5" xfId="0" applyNumberFormat="1" applyFont="1" applyFill="1" applyBorder="1"/>
    <xf numFmtId="0" fontId="0" fillId="0" borderId="30" xfId="0" applyBorder="1" applyAlignment="1">
      <alignment horizontal="left"/>
    </xf>
    <xf numFmtId="43" fontId="0" fillId="0" borderId="19" xfId="2" applyNumberFormat="1" applyFont="1" applyBorder="1" applyAlignment="1">
      <alignment vertical="center"/>
    </xf>
    <xf numFmtId="43" fontId="0" fillId="0" borderId="20" xfId="2" applyNumberFormat="1" applyFont="1" applyBorder="1" applyAlignment="1">
      <alignment vertical="center"/>
    </xf>
    <xf numFmtId="0" fontId="3" fillId="7" borderId="16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1" fontId="3" fillId="7" borderId="21" xfId="0" applyNumberFormat="1" applyFont="1" applyFill="1" applyBorder="1"/>
    <xf numFmtId="2" fontId="0" fillId="6" borderId="20" xfId="0" applyNumberFormat="1" applyFill="1" applyBorder="1"/>
    <xf numFmtId="2" fontId="0" fillId="6" borderId="8" xfId="0" applyNumberFormat="1" applyFill="1" applyBorder="1"/>
    <xf numFmtId="0" fontId="15" fillId="9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43" fontId="3" fillId="7" borderId="34" xfId="2" applyFont="1" applyFill="1" applyBorder="1" applyAlignment="1">
      <alignment horizontal="left"/>
    </xf>
    <xf numFmtId="2" fontId="0" fillId="0" borderId="6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2" fontId="0" fillId="0" borderId="14" xfId="0" applyNumberFormat="1" applyBorder="1"/>
    <xf numFmtId="166" fontId="3" fillId="7" borderId="16" xfId="2" applyNumberFormat="1" applyFont="1" applyFill="1" applyBorder="1"/>
    <xf numFmtId="0" fontId="0" fillId="0" borderId="36" xfId="0" applyBorder="1" applyAlignment="1">
      <alignment horizontal="center"/>
    </xf>
    <xf numFmtId="0" fontId="0" fillId="0" borderId="36" xfId="0" applyNumberFormat="1" applyBorder="1"/>
    <xf numFmtId="0" fontId="0" fillId="6" borderId="36" xfId="0" applyNumberFormat="1" applyFill="1" applyBorder="1"/>
    <xf numFmtId="0" fontId="0" fillId="0" borderId="36" xfId="0" applyNumberFormat="1" applyFill="1" applyBorder="1"/>
    <xf numFmtId="1" fontId="3" fillId="7" borderId="37" xfId="0" applyNumberFormat="1" applyFont="1" applyFill="1" applyBorder="1"/>
    <xf numFmtId="0" fontId="0" fillId="0" borderId="35" xfId="0" applyBorder="1"/>
    <xf numFmtId="0" fontId="3" fillId="7" borderId="36" xfId="0" applyNumberFormat="1" applyFont="1" applyFill="1" applyBorder="1"/>
    <xf numFmtId="0" fontId="0" fillId="0" borderId="36" xfId="0" applyBorder="1"/>
    <xf numFmtId="1" fontId="0" fillId="0" borderId="38" xfId="0" applyNumberFormat="1" applyBorder="1"/>
    <xf numFmtId="1" fontId="0" fillId="0" borderId="36" xfId="0" applyNumberFormat="1" applyBorder="1"/>
    <xf numFmtId="0" fontId="3" fillId="7" borderId="35" xfId="0" applyNumberFormat="1" applyFont="1" applyFill="1" applyBorder="1"/>
    <xf numFmtId="0" fontId="3" fillId="7" borderId="39" xfId="0" applyFont="1" applyFill="1" applyBorder="1"/>
    <xf numFmtId="167" fontId="0" fillId="0" borderId="0" xfId="0" applyNumberFormat="1"/>
    <xf numFmtId="0" fontId="8" fillId="0" borderId="5" xfId="0" applyFont="1" applyBorder="1"/>
    <xf numFmtId="0" fontId="8" fillId="4" borderId="5" xfId="0" applyFont="1" applyFill="1" applyBorder="1"/>
    <xf numFmtId="0" fontId="8" fillId="0" borderId="19" xfId="0" applyFont="1" applyBorder="1"/>
    <xf numFmtId="2" fontId="8" fillId="0" borderId="19" xfId="1" applyNumberFormat="1" applyFont="1" applyFill="1" applyBorder="1" applyAlignment="1">
      <alignment horizontal="right"/>
    </xf>
    <xf numFmtId="0" fontId="3" fillId="13" borderId="44" xfId="0" applyFont="1" applyFill="1" applyBorder="1" applyAlignment="1">
      <alignment horizontal="center" vertical="center" wrapText="1"/>
    </xf>
    <xf numFmtId="0" fontId="0" fillId="0" borderId="5" xfId="0" applyBorder="1"/>
    <xf numFmtId="0" fontId="1" fillId="14" borderId="45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0" borderId="5" xfId="0" applyBorder="1" applyAlignment="1">
      <alignment horizontal="left"/>
    </xf>
    <xf numFmtId="0" fontId="3" fillId="0" borderId="0" xfId="0" applyFont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5" fillId="9" borderId="40" xfId="0" applyFont="1" applyFill="1" applyBorder="1" applyAlignment="1">
      <alignment horizontal="center" vertical="center"/>
    </xf>
    <xf numFmtId="0" fontId="15" fillId="9" borderId="41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12" borderId="42" xfId="0" applyFont="1" applyFill="1" applyBorder="1" applyAlignment="1">
      <alignment horizontal="center"/>
    </xf>
    <xf numFmtId="0" fontId="1" fillId="12" borderId="43" xfId="0" applyFont="1" applyFill="1" applyBorder="1" applyAlignment="1">
      <alignment horizontal="center"/>
    </xf>
  </cellXfs>
  <cellStyles count="3">
    <cellStyle name="Check Cell" xfId="1" builtinId="23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442859</xdr:colOff>
      <xdr:row>0</xdr:row>
      <xdr:rowOff>183092</xdr:rowOff>
    </xdr:from>
    <xdr:ext cx="2501424" cy="626533"/>
    <xdr:pic>
      <xdr:nvPicPr>
        <xdr:cNvPr id="2" name="Picture 1">
          <a:extLst>
            <a:ext uri="{FF2B5EF4-FFF2-40B4-BE49-F238E27FC236}">
              <a16:creationId xmlns:a16="http://schemas.microsoft.com/office/drawing/2014/main" id="{A15EACC3-0AD7-4067-94A4-696DFF81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859" y="183092"/>
          <a:ext cx="2501424" cy="62653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501%20GIE_AGSI+Data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daystart 2018-05-01"/>
      <sheetName val="Sheet4"/>
    </sheetNames>
    <sheetDataSet>
      <sheetData sheetId="0"/>
      <sheetData sheetId="1">
        <row r="99">
          <cell r="G99">
            <v>15.869351999999999</v>
          </cell>
          <cell r="H99">
            <v>169.273088</v>
          </cell>
          <cell r="I99">
            <v>108.96955</v>
          </cell>
        </row>
        <row r="100">
          <cell r="G100">
            <v>22.726048250000002</v>
          </cell>
          <cell r="H100">
            <v>274.82663000000002</v>
          </cell>
          <cell r="I100">
            <v>274.82663000000002</v>
          </cell>
        </row>
        <row r="101">
          <cell r="G101">
            <v>7.3583037429999996</v>
          </cell>
          <cell r="H101">
            <v>94.606762000000003</v>
          </cell>
          <cell r="I101">
            <v>89.350830999999999</v>
          </cell>
        </row>
        <row r="102">
          <cell r="G102">
            <v>4.4747102400000003</v>
          </cell>
          <cell r="H102">
            <v>53.270359999999997</v>
          </cell>
          <cell r="I102">
            <v>53.270359999999997</v>
          </cell>
        </row>
        <row r="103">
          <cell r="G103">
            <v>3.28544014</v>
          </cell>
          <cell r="H103">
            <v>22.256207</v>
          </cell>
          <cell r="I103">
            <v>21.196387999999999</v>
          </cell>
        </row>
        <row r="104">
          <cell r="G104">
            <v>20.259127679999999</v>
          </cell>
          <cell r="H104">
            <v>221.58420899999999</v>
          </cell>
          <cell r="I104">
            <v>221.58420899999999</v>
          </cell>
        </row>
        <row r="105">
          <cell r="G105">
            <v>10.76312723</v>
          </cell>
          <cell r="H105">
            <v>107.631272</v>
          </cell>
          <cell r="I105">
            <v>107.631272</v>
          </cell>
        </row>
        <row r="106">
          <cell r="G106">
            <v>13.8139729</v>
          </cell>
          <cell r="H106">
            <v>138.13972899999999</v>
          </cell>
          <cell r="I106">
            <v>83.946450999999996</v>
          </cell>
        </row>
        <row r="107">
          <cell r="G107">
            <v>19.853453399999999</v>
          </cell>
          <cell r="H107">
            <v>240.331278</v>
          </cell>
          <cell r="I107">
            <v>240.331278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Simion" refreshedDate="43425.552091898149" createdVersion="6" refreshedVersion="6" minRefreshableVersion="3" recordCount="254" xr:uid="{9D5ADF35-D670-463B-8240-5628F4266086}">
  <cacheSource type="worksheet">
    <worksheetSource ref="A2:Z256" sheet="Storage DB "/>
  </cacheSource>
  <cacheFields count="26">
    <cacheField name="Country" numFmtId="0">
      <sharedItems count="26">
        <s v="Austria"/>
        <s v="Belarus"/>
        <s v="Belgium"/>
        <s v="Bulgaria"/>
        <s v="Croatia"/>
        <s v="Czech Republic"/>
        <s v="Denmark"/>
        <s v="France"/>
        <s v="Germany"/>
        <s v="Greece"/>
        <s v="Hungary"/>
        <s v="Italy"/>
        <s v="Latvia"/>
        <s v="Netherlands"/>
        <s v="Poland"/>
        <s v="Portugal"/>
        <s v="Romania"/>
        <s v="Russian Federation"/>
        <s v="Ukraine"/>
        <s v="Serbia"/>
        <s v="Slovakia"/>
        <s v="Spain"/>
        <s v="Sweden"/>
        <s v="Turkey"/>
        <s v="United Kingdom"/>
        <s v="Lithuania" u="1"/>
      </sharedItems>
    </cacheField>
    <cacheField name="Concatenate" numFmtId="0">
      <sharedItems/>
    </cacheField>
    <cacheField name="Country Code" numFmtId="0">
      <sharedItems containsBlank="1"/>
    </cacheField>
    <cacheField name="Company code" numFmtId="0">
      <sharedItems containsString="0" containsBlank="1" containsNumber="1" containsInteger="1" minValue="1" maxValue="30"/>
    </cacheField>
    <cacheField name="Facility code" numFmtId="0">
      <sharedItems containsString="0" containsBlank="1" containsNumber="1" containsInteger="1" minValue="1" maxValue="19"/>
    </cacheField>
    <cacheField name="Operator" numFmtId="0">
      <sharedItems/>
    </cacheField>
    <cacheField name="Facility/Location" numFmtId="0">
      <sharedItems/>
    </cacheField>
    <cacheField name="Status" numFmtId="0">
      <sharedItems count="3">
        <s v="operational"/>
        <s v="under construction"/>
        <s v="planned"/>
      </sharedItems>
    </cacheField>
    <cacheField name="Investment" numFmtId="0">
      <sharedItems/>
    </cacheField>
    <cacheField name="Start-up_x000a_year" numFmtId="0">
      <sharedItems containsString="0" containsBlank="1" containsNumber="1" containsInteger="1" minValue="1956" maxValue="2026"/>
    </cacheField>
    <cacheField name="Type" numFmtId="0">
      <sharedItems containsBlank="1" count="7">
        <s v="Depleted field"/>
        <s v="Salt cavern"/>
        <s v="Aquifer"/>
        <s v="Crystalline structures"/>
        <s v="Other"/>
        <m/>
        <s v="Rock Cavern"/>
      </sharedItems>
    </cacheField>
    <cacheField name="Notes" numFmtId="0">
      <sharedItems containsBlank="1"/>
    </cacheField>
    <cacheField name="onshore/_x000a_offshore" numFmtId="0">
      <sharedItems containsBlank="1"/>
    </cacheField>
    <cacheField name="Working gas_x000a_(technical) TWh" numFmtId="0">
      <sharedItems containsSemiMixedTypes="0" containsString="0" containsNumber="1" minValue="0" maxValue="183.68"/>
    </cacheField>
    <cacheField name="Working gas_x000a_TPA_x000a_TWh" numFmtId="0">
      <sharedItems containsString="0" containsBlank="1" containsNumber="1" minValue="0" maxValue="179.745"/>
    </cacheField>
    <cacheField name="Working gas_x000a_no TPA_x000a_TWh" numFmtId="2">
      <sharedItems containsString="0" containsBlank="1" containsNumber="1" minValue="0" maxValue="48.707900000000002"/>
    </cacheField>
    <cacheField name="Withdrawal_x000a_technical_x000a_GWh/day" numFmtId="0">
      <sharedItems containsSemiMixedTypes="0" containsString="0" containsNumber="1" minValue="0" maxValue="2783.07"/>
    </cacheField>
    <cacheField name="Withdrawal_x000a_TPA_x000a_GWh/day" numFmtId="0">
      <sharedItems containsString="0" containsBlank="1" containsNumber="1" minValue="0" maxValue="2783.07"/>
    </cacheField>
    <cacheField name="Withdrawal_x000a_no TPA_x000a_GWh/day" numFmtId="2">
      <sharedItems containsString="0" containsBlank="1" containsNumber="1" minValue="0" maxValue="742.48"/>
    </cacheField>
    <cacheField name="Injection_x000a_technical_x000a_GWh/day" numFmtId="0">
      <sharedItems containsSemiMixedTypes="0" containsString="0" containsNumber="1" minValue="0" maxValue="1582.53"/>
    </cacheField>
    <cacheField name="Injection_x000a_TPA_x000a_GWh/day" numFmtId="0">
      <sharedItems containsString="0" containsBlank="1" containsNumber="1" minValue="0" maxValue="1582.53"/>
    </cacheField>
    <cacheField name="Injection_x000a_no TPA_x000a_GWh/day" numFmtId="2">
      <sharedItems containsString="0" containsBlank="1" containsNumber="1" minValue="0" maxValue="448.75"/>
    </cacheField>
    <cacheField name="Access_x000a_regime" numFmtId="0">
      <sharedItems containsBlank="1"/>
    </cacheField>
    <cacheField name="in EU28 number" numFmtId="0">
      <sharedItems containsBlank="1" count="3">
        <s v="y"/>
        <s v="n"/>
        <m u="1"/>
      </sharedItems>
    </cacheField>
    <cacheField name="in EU28 SUM" numFmtId="0">
      <sharedItems count="3">
        <s v="y"/>
        <s v="n"/>
        <s v="no" u="1"/>
      </sharedItems>
    </cacheField>
    <cacheField name="EU 28 filter" numFmtId="2">
      <sharedItems containsMixedTypes="1" containsNumber="1" containsInteger="1" minValue="0" maxValue="0" count="3">
        <s v="YES"/>
        <s v="NO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s v="AT0101"/>
    <s v="AT"/>
    <n v="1"/>
    <n v="1"/>
    <s v="Astora"/>
    <s v="Haidach"/>
    <x v="0"/>
    <s v="existing"/>
    <n v="2007"/>
    <x v="0"/>
    <s v="Gas"/>
    <s v="Onshore"/>
    <n v="10.4435"/>
    <n v="10.4435"/>
    <m/>
    <n v="104.5856"/>
    <n v="104.5856"/>
    <m/>
    <n v="90.16"/>
    <n v="90.16"/>
    <m/>
    <s v="nTPA"/>
    <x v="0"/>
    <x v="0"/>
    <x v="0"/>
  </r>
  <r>
    <x v="0"/>
    <s v="AT0201"/>
    <s v="AT"/>
    <n v="2"/>
    <n v="1"/>
    <s v="GSA"/>
    <s v="Haidach"/>
    <x v="0"/>
    <s v="existing"/>
    <n v="2007"/>
    <x v="0"/>
    <s v="Gas"/>
    <s v="Onshore"/>
    <n v="19.992799999999999"/>
    <n v="19.992799999999999"/>
    <m/>
    <n v="198.17590000000001"/>
    <n v="198.17590000000001"/>
    <m/>
    <n v="177.6"/>
    <n v="177.6"/>
    <m/>
    <s v="nTPA"/>
    <x v="0"/>
    <x v="0"/>
    <x v="0"/>
  </r>
  <r>
    <x v="0"/>
    <s v="AT0301"/>
    <s v="AT"/>
    <n v="3"/>
    <n v="1"/>
    <s v="OMV Gas Storage"/>
    <s v="Schönkirchen/Reyersdorf"/>
    <x v="0"/>
    <s v="existing"/>
    <n v="1977"/>
    <x v="0"/>
    <s v="Gas"/>
    <s v="Onshore"/>
    <n v="20.7242"/>
    <n v="20.7242"/>
    <m/>
    <n v="260.35200000000003"/>
    <n v="260.35200000000003"/>
    <m/>
    <n v="176.28"/>
    <n v="176.28"/>
    <n v="0"/>
    <s v="nTPA"/>
    <x v="0"/>
    <x v="0"/>
    <x v="0"/>
  </r>
  <r>
    <x v="0"/>
    <s v="AT0302"/>
    <s v="AT"/>
    <n v="3"/>
    <n v="2"/>
    <s v="OMV Gas Storage"/>
    <s v="Tallesbrunn"/>
    <x v="0"/>
    <s v="existing"/>
    <n v="1974"/>
    <x v="0"/>
    <s v="Gas"/>
    <s v="Onshore"/>
    <n v="4.5199999999999996"/>
    <n v="4.5199999999999996"/>
    <m/>
    <n v="43.392000000000003"/>
    <n v="43.392000000000003"/>
    <m/>
    <n v="33.9"/>
    <n v="33.9"/>
    <n v="0"/>
    <s v="nTPA"/>
    <x v="0"/>
    <x v="0"/>
    <x v="0"/>
  </r>
  <r>
    <x v="0"/>
    <s v="AT0300"/>
    <s v="AT"/>
    <n v="3"/>
    <m/>
    <s v="OMV Gas Storage"/>
    <s v="VGS OMV Gas Storage Pool"/>
    <x v="0"/>
    <s v="existing"/>
    <m/>
    <x v="0"/>
    <s v="Gas"/>
    <s v="Onshore"/>
    <n v="25.244199999999999"/>
    <n v="25.244199999999999"/>
    <m/>
    <n v="303.74"/>
    <n v="303.74"/>
    <m/>
    <n v="210.18"/>
    <n v="210.18"/>
    <n v="0"/>
    <s v="nTPA"/>
    <x v="1"/>
    <x v="1"/>
    <x v="0"/>
  </r>
  <r>
    <x v="0"/>
    <s v="AT0401"/>
    <s v="AT"/>
    <n v="4"/>
    <n v="1"/>
    <s v="RAG.Energy.Storage"/>
    <s v="Aigelsbrunn"/>
    <x v="0"/>
    <s v="existing"/>
    <n v="2011"/>
    <x v="0"/>
    <s v="Gas"/>
    <s v="Onshore"/>
    <n v="1.47"/>
    <n v="1.47"/>
    <m/>
    <n v="13.584"/>
    <n v="13.584"/>
    <m/>
    <n v="13.584"/>
    <n v="13.584"/>
    <m/>
    <s v="nTPA"/>
    <x v="0"/>
    <x v="0"/>
    <x v="0"/>
  </r>
  <r>
    <x v="0"/>
    <s v="AT0402"/>
    <s v="AT"/>
    <n v="4"/>
    <n v="2"/>
    <s v="RAG.Energy.Storage"/>
    <s v="Haidach 5"/>
    <x v="0"/>
    <s v="existing"/>
    <n v="2006"/>
    <x v="0"/>
    <s v="Gas"/>
    <s v="Onshore"/>
    <n v="0.18099999999999999"/>
    <n v="0.18099999999999999"/>
    <m/>
    <n v="5.4240000000000004"/>
    <n v="5.4240000000000004"/>
    <m/>
    <n v="5.4240000000000004"/>
    <n v="5.4240000000000004"/>
    <m/>
    <s v="nTPA"/>
    <x v="0"/>
    <x v="0"/>
    <x v="0"/>
  </r>
  <r>
    <x v="0"/>
    <s v="AT0403"/>
    <s v="AT"/>
    <n v="4"/>
    <n v="3"/>
    <s v="RAG.Energy.Storage"/>
    <s v="Nussdorf/Zagling"/>
    <x v="0"/>
    <s v="existing"/>
    <n v="2014"/>
    <x v="0"/>
    <s v="Gas"/>
    <s v="Onshore"/>
    <n v="3.2570000000000001"/>
    <n v="3.2570000000000001"/>
    <m/>
    <n v="40.728000000000002"/>
    <n v="40.728000000000002"/>
    <m/>
    <n v="32.64"/>
    <n v="32.64"/>
    <m/>
    <s v="nTPA"/>
    <x v="0"/>
    <x v="0"/>
    <x v="0"/>
  </r>
  <r>
    <x v="0"/>
    <s v="AT0404"/>
    <s v="AT"/>
    <n v="4"/>
    <n v="4"/>
    <s v="RAG.Energy.Storage"/>
    <s v="Puchkirchen/Haag"/>
    <x v="0"/>
    <s v="existing"/>
    <n v="1982"/>
    <x v="0"/>
    <s v="Gas"/>
    <s v="Onshore"/>
    <n v="12.215"/>
    <n v="11.6495"/>
    <n v="0.5655"/>
    <n v="141.1"/>
    <n v="135.4"/>
    <n v="5.7"/>
    <n v="141.1"/>
    <n v="135.4"/>
    <n v="5.7"/>
    <s v="nTPA"/>
    <x v="0"/>
    <x v="0"/>
    <x v="0"/>
  </r>
  <r>
    <x v="0"/>
    <s v="AT0400"/>
    <s v="AT"/>
    <n v="4"/>
    <m/>
    <s v="RAG.Energy.Storage"/>
    <s v="RAG Storage  (storage group)"/>
    <x v="0"/>
    <s v="existing"/>
    <m/>
    <x v="0"/>
    <s v="Gas"/>
    <s v="Onshore"/>
    <n v="17.123000000000001"/>
    <n v="16.557500000000001"/>
    <n v="0.5655"/>
    <n v="200.83600000000001"/>
    <n v="195.13600000000002"/>
    <n v="5.7"/>
    <n v="192.74799999999999"/>
    <n v="187.048"/>
    <n v="5.7"/>
    <s v="nTPA"/>
    <x v="1"/>
    <x v="1"/>
    <x v="0"/>
  </r>
  <r>
    <x v="0"/>
    <s v="AT0501"/>
    <s v="AT"/>
    <n v="5"/>
    <n v="1"/>
    <s v="Uniper Energy Storage"/>
    <s v="7 Fields"/>
    <x v="0"/>
    <s v="existing"/>
    <n v="2011"/>
    <x v="0"/>
    <s v="Gas"/>
    <s v="Onshore"/>
    <n v="19.414999999999999"/>
    <n v="19.414999999999999"/>
    <m/>
    <n v="242.69"/>
    <n v="242.69"/>
    <m/>
    <n v="161.81"/>
    <n v="161.81"/>
    <m/>
    <s v="nTPA"/>
    <x v="0"/>
    <x v="0"/>
    <x v="0"/>
  </r>
  <r>
    <x v="1"/>
    <s v="BY0101"/>
    <s v="BY"/>
    <n v="1"/>
    <n v="1"/>
    <s v="Gazprom Transgaz Belarus"/>
    <s v="Mozyrskoye"/>
    <x v="0"/>
    <s v="existing"/>
    <n v="2008"/>
    <x v="1"/>
    <m/>
    <s v="Onshore"/>
    <n v="5.5149999999999997"/>
    <n v="5.5149999999999997"/>
    <m/>
    <n v="220.6"/>
    <n v="220.6"/>
    <m/>
    <n v="0"/>
    <m/>
    <m/>
    <m/>
    <x v="1"/>
    <x v="1"/>
    <x v="1"/>
  </r>
  <r>
    <x v="1"/>
    <s v="BY0102"/>
    <s v="BY"/>
    <n v="1"/>
    <n v="2"/>
    <s v="Gazprom Transgaz Belarus"/>
    <s v="Mozyrskoye"/>
    <x v="1"/>
    <s v="expansion"/>
    <n v="2020"/>
    <x v="1"/>
    <m/>
    <s v="Onshore"/>
    <n v="5.5149999999999997"/>
    <n v="5.5149999999999997"/>
    <m/>
    <n v="0"/>
    <m/>
    <m/>
    <n v="0"/>
    <m/>
    <m/>
    <m/>
    <x v="1"/>
    <x v="1"/>
    <x v="1"/>
  </r>
  <r>
    <x v="1"/>
    <s v="BY0103"/>
    <s v="BY"/>
    <n v="1"/>
    <n v="3"/>
    <s v="Gazprom Transgaz Belarus"/>
    <s v="Osipovichskoye"/>
    <x v="0"/>
    <s v="existing"/>
    <n v="1976"/>
    <x v="2"/>
    <m/>
    <s v="Onshore"/>
    <n v="3.3090000000000002"/>
    <n v="3.3090000000000002"/>
    <m/>
    <n v="44.12"/>
    <n v="44.12"/>
    <m/>
    <n v="0"/>
    <m/>
    <m/>
    <m/>
    <x v="1"/>
    <x v="1"/>
    <x v="1"/>
  </r>
  <r>
    <x v="1"/>
    <s v="BY0104"/>
    <s v="BY"/>
    <n v="1"/>
    <n v="4"/>
    <s v="Gazprom Transgaz Belarus"/>
    <s v="Pribugskoye"/>
    <x v="0"/>
    <s v="existing"/>
    <n v="2000"/>
    <x v="0"/>
    <s v="Gas"/>
    <s v="Onshore"/>
    <n v="6.6180000000000003"/>
    <n v="6.6180000000000003"/>
    <m/>
    <n v="52.943999999999996"/>
    <n v="52.943999999999996"/>
    <m/>
    <n v="0"/>
    <m/>
    <m/>
    <m/>
    <x v="1"/>
    <x v="1"/>
    <x v="1"/>
  </r>
  <r>
    <x v="2"/>
    <s v="BE0101"/>
    <s v="BE"/>
    <n v="1"/>
    <n v="1"/>
    <s v="Fluxys"/>
    <s v="Loenhout"/>
    <x v="0"/>
    <s v="existing"/>
    <n v="1985"/>
    <x v="2"/>
    <m/>
    <s v="Onshore"/>
    <n v="9.0013000000000005"/>
    <n v="9.0013000000000005"/>
    <m/>
    <n v="169.5"/>
    <n v="169.5"/>
    <m/>
    <n v="88.14"/>
    <n v="88.14"/>
    <m/>
    <s v="rTPA"/>
    <x v="0"/>
    <x v="0"/>
    <x v="0"/>
  </r>
  <r>
    <x v="3"/>
    <s v="BG0101"/>
    <s v="BG"/>
    <n v="1"/>
    <n v="1"/>
    <s v="Bulgartransgaz"/>
    <s v="Chiren"/>
    <x v="0"/>
    <s v="existing"/>
    <n v="1974"/>
    <x v="0"/>
    <s v="Gas"/>
    <s v="Onshore"/>
    <n v="6.27"/>
    <n v="6.27"/>
    <m/>
    <n v="36.200000000000003"/>
    <n v="36.200000000000003"/>
    <m/>
    <n v="34.1"/>
    <n v="34.1"/>
    <m/>
    <s v="rTPA"/>
    <x v="0"/>
    <x v="0"/>
    <x v="0"/>
  </r>
  <r>
    <x v="3"/>
    <s v="BG0102"/>
    <s v="BG"/>
    <n v="1"/>
    <n v="2"/>
    <s v="Bulgartransgaz"/>
    <s v="Chiren"/>
    <x v="2"/>
    <s v="expansion"/>
    <n v="2022"/>
    <x v="0"/>
    <s v="Gas"/>
    <s v="Onshore"/>
    <n v="11.42"/>
    <n v="11.42"/>
    <m/>
    <n v="114.2"/>
    <n v="114.2"/>
    <m/>
    <n v="91.36"/>
    <n v="91.36"/>
    <m/>
    <s v="rTPA"/>
    <x v="0"/>
    <x v="0"/>
    <x v="0"/>
  </r>
  <r>
    <x v="4"/>
    <s v="HR0101"/>
    <s v="HR"/>
    <n v="1"/>
    <n v="1"/>
    <s v="PSP"/>
    <s v="Okoli"/>
    <x v="0"/>
    <s v="existing"/>
    <n v="1988"/>
    <x v="0"/>
    <s v="Oil"/>
    <s v="Onshore"/>
    <n v="5.8148999999999997"/>
    <n v="5.6048999999999998"/>
    <n v="0.21"/>
    <n v="60.57"/>
    <n v="60.57"/>
    <m/>
    <n v="45.43"/>
    <n v="45.43"/>
    <m/>
    <s v="rTPA"/>
    <x v="0"/>
    <x v="0"/>
    <x v="0"/>
  </r>
  <r>
    <x v="4"/>
    <s v="HR0102"/>
    <s v="HR"/>
    <n v="1"/>
    <n v="2"/>
    <s v="PSP"/>
    <s v="Grubisno Polje"/>
    <x v="2"/>
    <s v="new facility"/>
    <n v="2022"/>
    <x v="0"/>
    <s v="Gas"/>
    <s v="Onshore"/>
    <n v="0.6"/>
    <n v="0.6"/>
    <m/>
    <n v="22"/>
    <n v="22"/>
    <m/>
    <n v="15"/>
    <n v="15"/>
    <m/>
    <s v="rTPA"/>
    <x v="0"/>
    <x v="0"/>
    <x v="0"/>
  </r>
  <r>
    <x v="5"/>
    <s v="CZ0101"/>
    <s v="CZ"/>
    <n v="1"/>
    <n v="1"/>
    <s v="innogy Gas Storage"/>
    <s v="Dolni Dunajovice"/>
    <x v="0"/>
    <s v="existing"/>
    <n v="1989"/>
    <x v="0"/>
    <s v="Gas"/>
    <s v="Onshore"/>
    <n v="0"/>
    <m/>
    <m/>
    <n v="0"/>
    <m/>
    <m/>
    <n v="0"/>
    <m/>
    <m/>
    <s v="nTPA"/>
    <x v="0"/>
    <x v="1"/>
    <x v="0"/>
  </r>
  <r>
    <x v="5"/>
    <s v="CZ0102"/>
    <s v="CZ"/>
    <n v="1"/>
    <n v="2"/>
    <s v="innogy Gas Storage"/>
    <s v="Háje"/>
    <x v="0"/>
    <s v="existing"/>
    <n v="1998"/>
    <x v="3"/>
    <s v="Crystalline structures"/>
    <s v="Onshore"/>
    <n v="0"/>
    <m/>
    <m/>
    <n v="0"/>
    <m/>
    <m/>
    <n v="0"/>
    <m/>
    <m/>
    <s v="nTPA"/>
    <x v="0"/>
    <x v="1"/>
    <x v="0"/>
  </r>
  <r>
    <x v="5"/>
    <s v="CZ0103"/>
    <s v="CZ"/>
    <n v="1"/>
    <n v="3"/>
    <s v="innogy Gas Storage"/>
    <s v="Lobodice"/>
    <x v="0"/>
    <s v="existing"/>
    <n v="1965"/>
    <x v="2"/>
    <m/>
    <s v="Onshore"/>
    <n v="0"/>
    <m/>
    <m/>
    <n v="0"/>
    <m/>
    <m/>
    <n v="0"/>
    <m/>
    <m/>
    <s v="nTPA"/>
    <x v="0"/>
    <x v="1"/>
    <x v="0"/>
  </r>
  <r>
    <x v="5"/>
    <s v="CZ0104"/>
    <s v="CZ"/>
    <n v="1"/>
    <n v="4"/>
    <s v="innogy Gas Storage"/>
    <s v="Štramberk"/>
    <x v="0"/>
    <s v="existing"/>
    <n v="1983"/>
    <x v="0"/>
    <s v="Gas"/>
    <s v="Onshore"/>
    <n v="0"/>
    <m/>
    <m/>
    <n v="0"/>
    <m/>
    <m/>
    <n v="0"/>
    <m/>
    <m/>
    <s v="nTPA"/>
    <x v="0"/>
    <x v="1"/>
    <x v="0"/>
  </r>
  <r>
    <x v="5"/>
    <s v="CZ0105"/>
    <s v="CZ"/>
    <n v="1"/>
    <n v="5"/>
    <s v="innogy Gas Storage"/>
    <s v="Třanovice"/>
    <x v="0"/>
    <s v="existing"/>
    <n v="2000"/>
    <x v="0"/>
    <s v="Gas"/>
    <s v="Onshore"/>
    <n v="0"/>
    <m/>
    <m/>
    <n v="0"/>
    <m/>
    <m/>
    <n v="0"/>
    <m/>
    <m/>
    <s v="nTPA"/>
    <x v="0"/>
    <x v="1"/>
    <x v="0"/>
  </r>
  <r>
    <x v="5"/>
    <s v="CZ0106"/>
    <s v="CZ"/>
    <n v="1"/>
    <n v="6"/>
    <s v="innogy Gas Storage"/>
    <s v="Tvrdonice"/>
    <x v="0"/>
    <s v="existing"/>
    <n v="1975"/>
    <x v="0"/>
    <s v="Gas"/>
    <s v="Onshore"/>
    <n v="0"/>
    <m/>
    <m/>
    <n v="0"/>
    <m/>
    <m/>
    <n v="0"/>
    <m/>
    <m/>
    <s v="nTPA"/>
    <x v="0"/>
    <x v="1"/>
    <x v="0"/>
  </r>
  <r>
    <x v="5"/>
    <s v="CZ0107"/>
    <s v="CZ"/>
    <n v="1"/>
    <m/>
    <s v="innogy Gas Storage"/>
    <s v="VGS innogy virtual storage (storage group)"/>
    <x v="0"/>
    <s v="existing"/>
    <m/>
    <x v="4"/>
    <m/>
    <m/>
    <n v="28.714600000000001"/>
    <n v="28.714600000000001"/>
    <m/>
    <n v="422.29"/>
    <n v="422.29"/>
    <m/>
    <n v="315.5"/>
    <n v="315.5"/>
    <m/>
    <s v="nTPA"/>
    <x v="1"/>
    <x v="0"/>
    <x v="0"/>
  </r>
  <r>
    <x v="5"/>
    <s v="CZ0201"/>
    <s v="CZ"/>
    <n v="2"/>
    <n v="1"/>
    <s v="MND Gas Storage"/>
    <s v="Uhřice"/>
    <x v="0"/>
    <s v="existing"/>
    <n v="2001"/>
    <x v="0"/>
    <s v="Oil/gas"/>
    <s v="Onshore"/>
    <n v="3.08"/>
    <n v="3.08"/>
    <m/>
    <n v="107.20699999999999"/>
    <n v="107.20699999999999"/>
    <m/>
    <n v="57.665999999999997"/>
    <n v="57.665999999999997"/>
    <m/>
    <s v="nTPA"/>
    <x v="0"/>
    <x v="0"/>
    <x v="0"/>
  </r>
  <r>
    <x v="5"/>
    <s v="CZ0301"/>
    <s v="CZ"/>
    <n v="3"/>
    <n v="1"/>
    <s v="Moravia Gas Storage"/>
    <s v="Dambořice"/>
    <x v="0"/>
    <s v="existing"/>
    <n v="2016"/>
    <x v="0"/>
    <s v="Oil"/>
    <s v="Onshore"/>
    <n v="2.6066350710900474"/>
    <n v="2.6066350710900474"/>
    <m/>
    <n v="78.199052132701425"/>
    <n v="78.199052132701425"/>
    <m/>
    <n v="46.919431279620852"/>
    <n v="46.919431279620852"/>
    <m/>
    <s v="nTPA"/>
    <x v="0"/>
    <x v="0"/>
    <x v="0"/>
  </r>
  <r>
    <x v="5"/>
    <s v="CZ0302"/>
    <s v="CZ"/>
    <n v="3"/>
    <n v="2"/>
    <s v="Moravia Gas Storage"/>
    <s v="Dambořice"/>
    <x v="1"/>
    <s v="expansion"/>
    <n v="2019"/>
    <x v="0"/>
    <s v="Oil"/>
    <s v="Onshore"/>
    <n v="0.50047393364928916"/>
    <n v="0.50047393364928916"/>
    <m/>
    <n v="0"/>
    <n v="0"/>
    <m/>
    <n v="0"/>
    <n v="0"/>
    <m/>
    <s v="nTPA"/>
    <x v="0"/>
    <x v="0"/>
    <x v="0"/>
  </r>
  <r>
    <x v="5"/>
    <s v="CZ0303"/>
    <s v="CZ"/>
    <n v="3"/>
    <n v="3"/>
    <s v="Moravia Gas Storage"/>
    <s v="Dambořice"/>
    <x v="1"/>
    <s v="expansion"/>
    <n v="2020"/>
    <x v="0"/>
    <s v="Oil"/>
    <s v="Onshore"/>
    <n v="0.17725118483412322"/>
    <n v="0.17725118483412322"/>
    <m/>
    <n v="0"/>
    <n v="0"/>
    <m/>
    <n v="0"/>
    <n v="0"/>
    <m/>
    <s v="nTPA"/>
    <x v="0"/>
    <x v="0"/>
    <x v="0"/>
  </r>
  <r>
    <x v="5"/>
    <s v="CZ0304"/>
    <s v="CZ"/>
    <n v="3"/>
    <n v="4"/>
    <s v="Moravia Gas Storage"/>
    <s v="Dambořice"/>
    <x v="1"/>
    <s v="expansion"/>
    <n v="2021"/>
    <x v="0"/>
    <s v="Oil"/>
    <s v="Onshore"/>
    <n v="1.3867298578199052"/>
    <n v="1.3867298578199052"/>
    <m/>
    <n v="0"/>
    <n v="0"/>
    <m/>
    <n v="0"/>
    <n v="0"/>
    <m/>
    <s v="nTPA"/>
    <x v="0"/>
    <x v="0"/>
    <x v="0"/>
  </r>
  <r>
    <x v="5"/>
    <s v="CZ0401"/>
    <s v="CZ"/>
    <n v="4"/>
    <n v="1"/>
    <s v="SPP Storage"/>
    <s v="Dolni Bojanovice"/>
    <x v="0"/>
    <s v="existing"/>
    <n v="1999"/>
    <x v="0"/>
    <s v="Oil/gas"/>
    <s v="Onshore"/>
    <n v="6.117"/>
    <n v="6.117"/>
    <m/>
    <n v="95.58"/>
    <n v="95.58"/>
    <m/>
    <n v="74.34"/>
    <n v="74.34"/>
    <m/>
    <s v="nTPA"/>
    <x v="0"/>
    <x v="0"/>
    <x v="0"/>
  </r>
  <r>
    <x v="6"/>
    <s v="DK0101"/>
    <s v="DK"/>
    <n v="1"/>
    <n v="1"/>
    <s v="Gas Storage Denmark"/>
    <s v="Lille Torup"/>
    <x v="0"/>
    <s v="existing"/>
    <n v="1987"/>
    <x v="1"/>
    <m/>
    <s v="Onshore"/>
    <n v="0"/>
    <m/>
    <m/>
    <n v="0"/>
    <m/>
    <m/>
    <n v="0"/>
    <m/>
    <m/>
    <s v="nTPA"/>
    <x v="0"/>
    <x v="1"/>
    <x v="0"/>
  </r>
  <r>
    <x v="6"/>
    <s v="DK0102"/>
    <s v="DK"/>
    <n v="1"/>
    <n v="2"/>
    <s v="Gas Storage Denmark"/>
    <s v="Stenlille"/>
    <x v="0"/>
    <s v="existing"/>
    <n v="1994"/>
    <x v="2"/>
    <m/>
    <s v="Onshore"/>
    <n v="0"/>
    <m/>
    <m/>
    <n v="0"/>
    <m/>
    <m/>
    <n v="0"/>
    <m/>
    <m/>
    <s v="nTPA"/>
    <x v="0"/>
    <x v="1"/>
    <x v="0"/>
  </r>
  <r>
    <x v="6"/>
    <s v="DK0100"/>
    <s v="DK"/>
    <n v="1"/>
    <m/>
    <s v="Gas Storage Denmark"/>
    <s v="VGS GSD gas storage"/>
    <x v="0"/>
    <s v="existing"/>
    <m/>
    <x v="2"/>
    <m/>
    <s v="Onshore"/>
    <n v="10.347"/>
    <n v="10.347"/>
    <m/>
    <n v="194.4"/>
    <n v="194.4"/>
    <m/>
    <n v="100.8"/>
    <n v="100.8"/>
    <m/>
    <s v="nTPA"/>
    <x v="1"/>
    <x v="0"/>
    <x v="0"/>
  </r>
  <r>
    <x v="7"/>
    <s v="FR0101"/>
    <s v="FR"/>
    <n v="1"/>
    <n v="1"/>
    <s v="Storengy"/>
    <s v="Saline: Etrez "/>
    <x v="0"/>
    <s v="existing"/>
    <n v="1980"/>
    <x v="1"/>
    <m/>
    <s v="Onshore"/>
    <n v="0"/>
    <m/>
    <m/>
    <n v="0"/>
    <m/>
    <m/>
    <n v="0"/>
    <m/>
    <m/>
    <s v="nTPA"/>
    <x v="0"/>
    <x v="1"/>
    <x v="0"/>
  </r>
  <r>
    <x v="7"/>
    <s v="FR0102"/>
    <s v="FR"/>
    <n v="1"/>
    <n v="2"/>
    <s v="Storengy"/>
    <s v="Saline: Manosque"/>
    <x v="0"/>
    <s v="existing"/>
    <n v="1993"/>
    <x v="1"/>
    <m/>
    <s v="Onshore"/>
    <n v="0"/>
    <m/>
    <m/>
    <n v="0"/>
    <m/>
    <m/>
    <n v="0"/>
    <m/>
    <m/>
    <s v="nTPA"/>
    <x v="0"/>
    <x v="1"/>
    <x v="0"/>
  </r>
  <r>
    <x v="7"/>
    <s v="FR0103"/>
    <s v="FR"/>
    <n v="1"/>
    <n v="3"/>
    <s v="Storengy"/>
    <s v="Saline: Tersanne/Hauterives"/>
    <x v="0"/>
    <s v="existing"/>
    <n v="1970"/>
    <x v="1"/>
    <m/>
    <s v="Onshore"/>
    <n v="0"/>
    <m/>
    <m/>
    <n v="0"/>
    <m/>
    <m/>
    <n v="0"/>
    <m/>
    <m/>
    <s v="nTPA"/>
    <x v="0"/>
    <x v="1"/>
    <x v="0"/>
  </r>
  <r>
    <x v="7"/>
    <s v="FR0100"/>
    <s v="FR"/>
    <n v="1"/>
    <m/>
    <s v="Storengy"/>
    <s v="VGS Storengy Saline"/>
    <x v="0"/>
    <s v="existing"/>
    <m/>
    <x v="1"/>
    <m/>
    <s v="Onshore"/>
    <n v="12.2"/>
    <n v="12.2"/>
    <m/>
    <n v="642"/>
    <n v="642"/>
    <m/>
    <n v="136"/>
    <n v="136"/>
    <m/>
    <s v="nTPA"/>
    <x v="1"/>
    <x v="0"/>
    <x v="0"/>
  </r>
  <r>
    <x v="7"/>
    <s v="FR0104"/>
    <s v="FR"/>
    <n v="1"/>
    <n v="4"/>
    <s v="Storengy"/>
    <s v="SEDIANE: Beynes Profond"/>
    <x v="0"/>
    <s v="existing"/>
    <n v="1956"/>
    <x v="2"/>
    <m/>
    <s v="Onshore"/>
    <n v="0"/>
    <m/>
    <m/>
    <n v="0"/>
    <m/>
    <m/>
    <n v="0"/>
    <m/>
    <m/>
    <s v="nTPA"/>
    <x v="0"/>
    <x v="1"/>
    <x v="0"/>
  </r>
  <r>
    <x v="7"/>
    <s v="FR0105"/>
    <s v="FR"/>
    <n v="1"/>
    <n v="5"/>
    <s v="Storengy"/>
    <s v="SEDIANE: Beynes Supérieur"/>
    <x v="0"/>
    <s v="existing"/>
    <n v="1956"/>
    <x v="2"/>
    <m/>
    <s v="Onshore"/>
    <n v="0"/>
    <m/>
    <m/>
    <n v="0"/>
    <m/>
    <m/>
    <n v="0"/>
    <m/>
    <m/>
    <s v="nTPA"/>
    <x v="0"/>
    <x v="1"/>
    <x v="0"/>
  </r>
  <r>
    <x v="7"/>
    <s v="FR0106"/>
    <s v="FR"/>
    <n v="1"/>
    <n v="6"/>
    <s v="Storengy"/>
    <s v="SEDIANE: Saint-Illiers-la-Ville"/>
    <x v="0"/>
    <s v="existing"/>
    <n v="1965"/>
    <x v="2"/>
    <m/>
    <s v="Onshore"/>
    <n v="0"/>
    <m/>
    <m/>
    <n v="0"/>
    <m/>
    <m/>
    <n v="0"/>
    <m/>
    <m/>
    <s v="nTPA"/>
    <x v="0"/>
    <x v="1"/>
    <x v="0"/>
  </r>
  <r>
    <x v="7"/>
    <s v="FR0100"/>
    <s v="FR"/>
    <n v="1"/>
    <m/>
    <s v="Storengy"/>
    <s v="VGS Storengy Sediane"/>
    <x v="0"/>
    <s v="existing"/>
    <m/>
    <x v="2"/>
    <m/>
    <s v="Onshore"/>
    <n v="11.65"/>
    <n v="11.65"/>
    <m/>
    <n v="277"/>
    <n v="277"/>
    <m/>
    <n v="146"/>
    <n v="146"/>
    <m/>
    <s v="nTPA"/>
    <x v="1"/>
    <x v="0"/>
    <x v="0"/>
  </r>
  <r>
    <x v="7"/>
    <s v="FR0107"/>
    <s v="FR"/>
    <n v="1"/>
    <n v="7"/>
    <s v="Storengy"/>
    <s v="VGS SEDIANE B: Gournay-sur-Aronde"/>
    <x v="0"/>
    <s v="existing"/>
    <n v="1976"/>
    <x v="2"/>
    <m/>
    <s v="Onshore"/>
    <n v="13.4"/>
    <n v="13.4"/>
    <m/>
    <n v="248"/>
    <n v="248"/>
    <m/>
    <n v="112"/>
    <n v="112"/>
    <m/>
    <s v="nTPA"/>
    <x v="0"/>
    <x v="0"/>
    <x v="0"/>
  </r>
  <r>
    <x v="7"/>
    <s v="FR0108"/>
    <s v="FR"/>
    <n v="1"/>
    <n v="8"/>
    <s v="Storengy"/>
    <s v="SEDIANE LITTORAL: Céré-la-Ronde"/>
    <x v="0"/>
    <s v="existing"/>
    <n v="1993"/>
    <x v="2"/>
    <m/>
    <s v="Onshore"/>
    <n v="0"/>
    <m/>
    <m/>
    <n v="0"/>
    <m/>
    <m/>
    <n v="0"/>
    <m/>
    <m/>
    <s v="nTPA"/>
    <x v="0"/>
    <x v="1"/>
    <x v="0"/>
  </r>
  <r>
    <x v="7"/>
    <s v="FR0109"/>
    <s v="FR"/>
    <n v="1"/>
    <n v="9"/>
    <s v="Storengy"/>
    <s v="SEDIANE LITTORAL: Chémery"/>
    <x v="0"/>
    <s v="existing"/>
    <n v="1968"/>
    <x v="2"/>
    <m/>
    <s v="Onshore"/>
    <n v="0"/>
    <m/>
    <m/>
    <n v="0"/>
    <m/>
    <m/>
    <n v="0"/>
    <m/>
    <m/>
    <s v="nTPA"/>
    <x v="0"/>
    <x v="1"/>
    <x v="0"/>
  </r>
  <r>
    <x v="7"/>
    <s v="FR0100"/>
    <s v="FR"/>
    <n v="1"/>
    <m/>
    <s v="Storengy"/>
    <s v="VGS Storengy SEDIANE LITTORAL"/>
    <x v="0"/>
    <s v="existing"/>
    <m/>
    <x v="2"/>
    <m/>
    <s v="Onshore"/>
    <n v="33.200000000000003"/>
    <n v="33.200000000000003"/>
    <m/>
    <n v="416"/>
    <n v="416"/>
    <m/>
    <n v="260"/>
    <n v="260"/>
    <m/>
    <s v="nTPA"/>
    <x v="1"/>
    <x v="0"/>
    <x v="0"/>
  </r>
  <r>
    <x v="7"/>
    <s v="FR0111"/>
    <s v="FR"/>
    <n v="1"/>
    <n v="10"/>
    <s v="Storengy"/>
    <s v="SERENE Nord: Cerville"/>
    <x v="0"/>
    <s v="existing"/>
    <n v="1970"/>
    <x v="2"/>
    <m/>
    <s v="Onshore"/>
    <n v="0"/>
    <m/>
    <m/>
    <n v="0"/>
    <m/>
    <m/>
    <n v="0"/>
    <m/>
    <m/>
    <s v="nTPA"/>
    <x v="0"/>
    <x v="1"/>
    <x v="0"/>
  </r>
  <r>
    <x v="7"/>
    <s v="FR0112"/>
    <s v="FR"/>
    <n v="1"/>
    <n v="11"/>
    <s v="Storengy"/>
    <s v="SERENE Nord: Germigny-sous-Coulombs"/>
    <x v="0"/>
    <s v="existing"/>
    <n v="1982"/>
    <x v="2"/>
    <m/>
    <s v="Onshore"/>
    <n v="0"/>
    <m/>
    <m/>
    <n v="0"/>
    <m/>
    <m/>
    <n v="0"/>
    <m/>
    <m/>
    <s v="nTPA"/>
    <x v="0"/>
    <x v="1"/>
    <x v="0"/>
  </r>
  <r>
    <x v="7"/>
    <s v="FR0113"/>
    <s v="FR"/>
    <n v="1"/>
    <n v="12"/>
    <s v="Storengy"/>
    <s v="SERENE Nord: Saint-Clair-sur-Epte "/>
    <x v="0"/>
    <s v="existing"/>
    <n v="1982"/>
    <x v="2"/>
    <m/>
    <s v="Onshore"/>
    <n v="0"/>
    <m/>
    <m/>
    <n v="0"/>
    <m/>
    <m/>
    <n v="0"/>
    <m/>
    <m/>
    <s v="nTPA"/>
    <x v="0"/>
    <x v="1"/>
    <x v="0"/>
  </r>
  <r>
    <x v="7"/>
    <s v="FR0114"/>
    <s v="FR"/>
    <n v="1"/>
    <n v="13"/>
    <s v="Storengy"/>
    <s v="SERENE Nord: Trois-Fontaines l'Abbaye"/>
    <x v="0"/>
    <s v="existing"/>
    <n v="1970"/>
    <x v="0"/>
    <m/>
    <s v="Onshore"/>
    <n v="0"/>
    <m/>
    <m/>
    <n v="0"/>
    <m/>
    <m/>
    <n v="0"/>
    <m/>
    <m/>
    <s v="nTPA"/>
    <x v="0"/>
    <x v="1"/>
    <x v="0"/>
  </r>
  <r>
    <x v="7"/>
    <s v="FR0100"/>
    <s v="FR"/>
    <n v="1"/>
    <m/>
    <s v="Storengy"/>
    <s v="VGS Storengy Serene Nord"/>
    <x v="0"/>
    <s v="existing"/>
    <m/>
    <x v="2"/>
    <m/>
    <s v="Onshore"/>
    <n v="16.649999999999999"/>
    <n v="16.649999999999999"/>
    <m/>
    <n v="222"/>
    <n v="222"/>
    <m/>
    <n v="139"/>
    <n v="139"/>
    <m/>
    <s v="nTPA"/>
    <x v="1"/>
    <x v="0"/>
    <x v="0"/>
  </r>
  <r>
    <x v="7"/>
    <s v="FR0115"/>
    <s v="FR"/>
    <n v="1"/>
    <n v="14"/>
    <s v="Storengy"/>
    <s v="SERENE SUD: Céré-la-Ronde"/>
    <x v="0"/>
    <s v="existing"/>
    <n v="1993"/>
    <x v="2"/>
    <m/>
    <s v="Onshore"/>
    <n v="0"/>
    <m/>
    <m/>
    <n v="0"/>
    <m/>
    <m/>
    <n v="0"/>
    <m/>
    <m/>
    <s v="nTPA"/>
    <x v="0"/>
    <x v="1"/>
    <x v="0"/>
  </r>
  <r>
    <x v="7"/>
    <s v="FR0116"/>
    <s v="FR"/>
    <n v="1"/>
    <n v="15"/>
    <s v="Storengy"/>
    <s v="SERENE SUD: Chémery"/>
    <x v="0"/>
    <s v="existing"/>
    <n v="1968"/>
    <x v="2"/>
    <m/>
    <s v="Onshore"/>
    <n v="0"/>
    <m/>
    <m/>
    <n v="0"/>
    <m/>
    <m/>
    <n v="0"/>
    <m/>
    <m/>
    <s v="nTPA"/>
    <x v="0"/>
    <x v="1"/>
    <x v="0"/>
  </r>
  <r>
    <x v="7"/>
    <s v="FR0100"/>
    <s v="FR"/>
    <n v="1"/>
    <m/>
    <s v="Storengy"/>
    <s v="VGS Storengy SERENE SUD"/>
    <x v="0"/>
    <s v="existing"/>
    <m/>
    <x v="2"/>
    <m/>
    <s v="Onshore"/>
    <n v="12.9"/>
    <n v="12.9"/>
    <m/>
    <n v="145"/>
    <n v="145"/>
    <m/>
    <n v="91"/>
    <n v="91"/>
    <m/>
    <s v="nTPA"/>
    <x v="1"/>
    <x v="0"/>
    <x v="0"/>
  </r>
  <r>
    <x v="7"/>
    <s v="FR0118"/>
    <s v="FR"/>
    <n v="1"/>
    <n v="16"/>
    <s v="Storengy"/>
    <s v="Alsace Sud"/>
    <x v="2"/>
    <s v="new facility"/>
    <n v="2022"/>
    <x v="1"/>
    <m/>
    <s v="Onshore"/>
    <n v="2.2799999999999998"/>
    <n v="2.2799999999999998"/>
    <m/>
    <n v="109.4"/>
    <n v="109.4"/>
    <m/>
    <n v="34.200000000000003"/>
    <n v="34.200000000000003"/>
    <m/>
    <s v="nTPA"/>
    <x v="0"/>
    <x v="0"/>
    <x v="0"/>
  </r>
  <r>
    <x v="7"/>
    <s v="FR0119"/>
    <s v="FR"/>
    <n v="1"/>
    <n v="17"/>
    <s v="Storengy"/>
    <s v="Etrez"/>
    <x v="2"/>
    <s v="expansion"/>
    <n v="2022"/>
    <x v="1"/>
    <m/>
    <s v="Onshore"/>
    <n v="0.68"/>
    <n v="0.68"/>
    <m/>
    <n v="45.6"/>
    <n v="45.6"/>
    <m/>
    <n v="0"/>
    <n v="0"/>
    <m/>
    <s v="nTPA"/>
    <x v="0"/>
    <x v="0"/>
    <x v="0"/>
  </r>
  <r>
    <x v="7"/>
    <s v="FR0120"/>
    <s v="FR"/>
    <n v="1"/>
    <n v="18"/>
    <s v="Storengy"/>
    <s v="Hauterives"/>
    <x v="2"/>
    <s v="expansion"/>
    <m/>
    <x v="1"/>
    <m/>
    <s v="Onshore"/>
    <n v="1.1399999999999999"/>
    <n v="1.1399999999999999"/>
    <m/>
    <n v="91.2"/>
    <n v="91.2"/>
    <m/>
    <n v="22.8"/>
    <n v="22.8"/>
    <m/>
    <s v="nTPA"/>
    <x v="0"/>
    <x v="0"/>
    <x v="0"/>
  </r>
  <r>
    <x v="7"/>
    <s v="FR0201"/>
    <s v="FR"/>
    <n v="2"/>
    <n v="1"/>
    <s v="TERÉGA"/>
    <s v="Izaute"/>
    <x v="0"/>
    <s v="existing"/>
    <n v="1981"/>
    <x v="2"/>
    <m/>
    <s v="Onshore"/>
    <n v="0"/>
    <m/>
    <m/>
    <n v="0"/>
    <m/>
    <m/>
    <n v="0"/>
    <m/>
    <m/>
    <s v="nTPA"/>
    <x v="0"/>
    <x v="1"/>
    <x v="0"/>
  </r>
  <r>
    <x v="7"/>
    <s v="FR0202"/>
    <s v="FR"/>
    <n v="2"/>
    <n v="2"/>
    <s v="TERÉGA"/>
    <s v="Lussagnet"/>
    <x v="0"/>
    <s v="existing"/>
    <n v="1957"/>
    <x v="2"/>
    <m/>
    <s v="Onshore"/>
    <n v="0"/>
    <m/>
    <m/>
    <n v="0"/>
    <m/>
    <m/>
    <n v="0"/>
    <m/>
    <m/>
    <s v="nTPA"/>
    <x v="0"/>
    <x v="1"/>
    <x v="0"/>
  </r>
  <r>
    <x v="7"/>
    <s v="FR0200"/>
    <s v="FR"/>
    <n v="2"/>
    <m/>
    <s v="TERÉGA"/>
    <s v="TERÉGA (storage group )"/>
    <x v="0"/>
    <s v="existing"/>
    <m/>
    <x v="2"/>
    <m/>
    <s v="Onshore"/>
    <n v="33.112400000000001"/>
    <n v="33.112400000000001"/>
    <m/>
    <n v="556"/>
    <n v="556"/>
    <m/>
    <n v="342"/>
    <n v="342"/>
    <m/>
    <s v="nTPA"/>
    <x v="1"/>
    <x v="0"/>
    <x v="0"/>
  </r>
  <r>
    <x v="8"/>
    <s v="DE0101"/>
    <s v="DE"/>
    <n v="1"/>
    <n v="1"/>
    <s v="Astora"/>
    <s v="Jemgum "/>
    <x v="0"/>
    <s v="existing"/>
    <n v="2013"/>
    <x v="1"/>
    <m/>
    <s v="Onshore"/>
    <n v="6.86"/>
    <n v="6.86"/>
    <m/>
    <n v="145.80000000000001"/>
    <n v="145.80000000000001"/>
    <m/>
    <n v="99.9"/>
    <n v="99.9"/>
    <m/>
    <s v="nTPA"/>
    <x v="0"/>
    <x v="0"/>
    <x v="0"/>
  </r>
  <r>
    <x v="8"/>
    <s v="DE0102"/>
    <s v="DE"/>
    <n v="1"/>
    <n v="2"/>
    <s v="Astora"/>
    <s v="Jemgum "/>
    <x v="1"/>
    <s v="expansion"/>
    <n v="2018"/>
    <x v="1"/>
    <m/>
    <s v="Onshore"/>
    <n v="0"/>
    <m/>
    <m/>
    <n v="0"/>
    <m/>
    <m/>
    <n v="0"/>
    <m/>
    <m/>
    <s v="nTPA"/>
    <x v="0"/>
    <x v="0"/>
    <x v="0"/>
  </r>
  <r>
    <x v="8"/>
    <s v="DE0103"/>
    <s v="DE"/>
    <n v="1"/>
    <n v="3"/>
    <s v="Astora"/>
    <s v="Rehden"/>
    <x v="0"/>
    <s v="existing"/>
    <n v="1993"/>
    <x v="0"/>
    <s v="Gas"/>
    <s v="Onshore"/>
    <n v="48.62"/>
    <n v="48.62"/>
    <m/>
    <n v="530.4"/>
    <n v="530.4"/>
    <m/>
    <n v="344.76"/>
    <n v="344.76"/>
    <m/>
    <s v="nTPA"/>
    <x v="0"/>
    <x v="0"/>
    <x v="0"/>
  </r>
  <r>
    <x v="8"/>
    <s v="DE0201"/>
    <s v="DE"/>
    <n v="2"/>
    <n v="1"/>
    <s v="BayernUGS"/>
    <s v="Wolfersberg"/>
    <x v="0"/>
    <s v="existing"/>
    <n v="1973"/>
    <x v="0"/>
    <s v="Gas"/>
    <s v="Onshore"/>
    <n v="4.1208499999999999"/>
    <n v="4.1208499999999999"/>
    <m/>
    <n v="65.03"/>
    <n v="65.03"/>
    <m/>
    <n v="37.93"/>
    <n v="37.93"/>
    <m/>
    <s v="nTPA"/>
    <x v="0"/>
    <x v="0"/>
    <x v="0"/>
  </r>
  <r>
    <x v="8"/>
    <s v="DE31"/>
    <s v="DE"/>
    <n v="3"/>
    <n v="1"/>
    <s v="Crystal, Friedeburger Speicherbetriebsgesellschaft"/>
    <s v="Etzel Crystal"/>
    <x v="0"/>
    <s v="existing"/>
    <n v="2012"/>
    <x v="1"/>
    <m/>
    <s v="Onshore"/>
    <n v="2.4209999999999998"/>
    <n v="2.4209999999999998"/>
    <m/>
    <n v="94.08"/>
    <n v="94.08"/>
    <m/>
    <n v="54"/>
    <n v="54"/>
    <m/>
    <s v="nTPA"/>
    <x v="0"/>
    <x v="0"/>
    <x v="0"/>
  </r>
  <r>
    <x v="8"/>
    <s v="DE41"/>
    <s v="DE"/>
    <n v="4"/>
    <n v="1"/>
    <s v="DEA Speicher"/>
    <s v="Inzenham-West"/>
    <x v="0"/>
    <s v="existing"/>
    <n v="1982"/>
    <x v="0"/>
    <m/>
    <s v="Onshore"/>
    <n v="4.7679999999999998"/>
    <n v="4.7679999999999998"/>
    <m/>
    <n v="80.64"/>
    <n v="80.64"/>
    <m/>
    <n v="53.76"/>
    <n v="53.76"/>
    <m/>
    <s v="nTPA"/>
    <x v="0"/>
    <x v="0"/>
    <x v="0"/>
  </r>
  <r>
    <x v="8"/>
    <s v="DE51"/>
    <s v="DE"/>
    <n v="5"/>
    <n v="1"/>
    <s v="EKB (Etzel-Kavernenbetriebsgesellschaft)"/>
    <s v="Etzel EKB"/>
    <x v="0"/>
    <s v="existing"/>
    <n v="2012"/>
    <x v="1"/>
    <m/>
    <s v="Onshore"/>
    <n v="11.202"/>
    <n v="11.202"/>
    <m/>
    <n v="216.95999999999998"/>
    <n v="216.95999999999998"/>
    <m/>
    <n v="122.04"/>
    <n v="122.04"/>
    <m/>
    <s v="nTPA"/>
    <x v="0"/>
    <x v="0"/>
    <x v="0"/>
  </r>
  <r>
    <x v="8"/>
    <s v="DE61"/>
    <s v="DE"/>
    <n v="6"/>
    <n v="1"/>
    <s v="EnBW Energie Baden-Württemberg"/>
    <s v="Etzel"/>
    <x v="0"/>
    <s v="existing"/>
    <n v="2012"/>
    <x v="1"/>
    <m/>
    <s v="Onshore"/>
    <n v="2.4209999999999998"/>
    <n v="2.4209999999999998"/>
    <m/>
    <n v="94.08"/>
    <n v="94.08"/>
    <m/>
    <n v="54"/>
    <n v="54"/>
    <m/>
    <s v="nTPA"/>
    <x v="0"/>
    <x v="0"/>
    <x v="0"/>
  </r>
  <r>
    <x v="8"/>
    <s v="DE71"/>
    <s v="DE"/>
    <n v="7"/>
    <n v="1"/>
    <s v="Eneco"/>
    <s v="Epe Eneco"/>
    <x v="0"/>
    <s v="existing"/>
    <n v="2012"/>
    <x v="1"/>
    <m/>
    <s v="Onshore"/>
    <n v="1.43520001"/>
    <n v="1.43520001"/>
    <m/>
    <n v="93.6"/>
    <n v="93.6"/>
    <m/>
    <n v="93.6"/>
    <n v="93.6"/>
    <m/>
    <s v="nTPA"/>
    <x v="0"/>
    <x v="0"/>
    <x v="0"/>
  </r>
  <r>
    <x v="8"/>
    <s v="DE81"/>
    <s v="DE"/>
    <n v="8"/>
    <n v="1"/>
    <s v="Enovos Storage"/>
    <s v="Frankenthal"/>
    <x v="0"/>
    <s v="existing"/>
    <n v="1979"/>
    <x v="2"/>
    <m/>
    <s v="Onshore"/>
    <n v="0.88800000000000001"/>
    <n v="0.88800000000000001"/>
    <m/>
    <n v="26.64"/>
    <n v="26.64"/>
    <m/>
    <n v="6.47424"/>
    <n v="6.47424"/>
    <m/>
    <s v="nTPA"/>
    <x v="0"/>
    <x v="0"/>
    <x v="0"/>
  </r>
  <r>
    <x v="8"/>
    <s v="DE91"/>
    <s v="DE"/>
    <n v="9"/>
    <n v="1"/>
    <s v="Erdgasspeicher Peissen"/>
    <s v="Katharina"/>
    <x v="0"/>
    <s v="existing"/>
    <n v="2012"/>
    <x v="1"/>
    <m/>
    <s v="Onshore"/>
    <n v="1.8169999999999999"/>
    <n v="1.8169999999999999"/>
    <m/>
    <n v="0"/>
    <m/>
    <m/>
    <n v="0"/>
    <m/>
    <m/>
    <s v="nTPA"/>
    <x v="0"/>
    <x v="0"/>
    <x v="0"/>
  </r>
  <r>
    <x v="8"/>
    <s v="DE92"/>
    <s v="DE"/>
    <n v="9"/>
    <n v="2"/>
    <s v="Erdgasspeicher Peissen"/>
    <s v="Katharina"/>
    <x v="2"/>
    <s v="expansion"/>
    <n v="2025"/>
    <x v="1"/>
    <m/>
    <s v="Onshore"/>
    <n v="5.0830000000000002"/>
    <n v="5.0830000000000002"/>
    <m/>
    <n v="0.27600000000000002"/>
    <n v="0.27600000000000002"/>
    <m/>
    <n v="0.13800000000000001"/>
    <n v="0.13800000000000001"/>
    <m/>
    <s v="nTPA"/>
    <x v="0"/>
    <x v="0"/>
    <x v="0"/>
  </r>
  <r>
    <x v="8"/>
    <s v="DE101"/>
    <s v="DE"/>
    <n v="10"/>
    <n v="1"/>
    <s v="EWE Gasspeicher"/>
    <s v="EWE-Zone L (Nüttermoor/Huntorf)"/>
    <x v="0"/>
    <s v="existing"/>
    <n v="1972"/>
    <x v="1"/>
    <m/>
    <s v="Onshore"/>
    <n v="9.4700000000000006"/>
    <n v="9.4700000000000006"/>
    <m/>
    <n v="246.96"/>
    <n v="246.96"/>
    <m/>
    <n v="91.73"/>
    <n v="91.73"/>
    <m/>
    <s v="nTPA"/>
    <x v="0"/>
    <x v="0"/>
    <x v="0"/>
  </r>
  <r>
    <x v="8"/>
    <s v="DE102"/>
    <s v="DE"/>
    <n v="10"/>
    <n v="2"/>
    <s v="EWE Gasspeicher"/>
    <s v="Jemgum H"/>
    <x v="0"/>
    <s v="existing"/>
    <n v="2013"/>
    <x v="1"/>
    <m/>
    <s v="Onshore"/>
    <n v="3.98"/>
    <n v="3.98"/>
    <m/>
    <n v="69"/>
    <n v="69"/>
    <m/>
    <n v="55.2"/>
    <n v="55.2"/>
    <m/>
    <s v="nTPA"/>
    <x v="0"/>
    <x v="0"/>
    <x v="0"/>
  </r>
  <r>
    <x v="8"/>
    <s v="DE104"/>
    <s v="DE"/>
    <n v="10"/>
    <n v="4"/>
    <s v="EWE Gasspeicher"/>
    <s v="Nüttermoor H-1"/>
    <x v="0"/>
    <s v="existing"/>
    <n v="1979"/>
    <x v="1"/>
    <m/>
    <s v="Onshore"/>
    <n v="1.8320000000000001"/>
    <n v="1.8320000000000001"/>
    <m/>
    <n v="69.599999999999994"/>
    <n v="69.599999999999994"/>
    <m/>
    <n v="48.72"/>
    <n v="48.72"/>
    <m/>
    <s v="nTPA"/>
    <x v="0"/>
    <x v="0"/>
    <x v="0"/>
  </r>
  <r>
    <x v="8"/>
    <s v="DE105"/>
    <s v="DE"/>
    <n v="10"/>
    <n v="5"/>
    <s v="EWE Gasspeicher"/>
    <s v="Nüttermoor H-2"/>
    <x v="0"/>
    <s v="existing"/>
    <n v="1979"/>
    <x v="1"/>
    <m/>
    <s v="Onshore"/>
    <n v="1.9550000000000001"/>
    <n v="1.9550000000000001"/>
    <m/>
    <n v="49.68"/>
    <n v="49.68"/>
    <m/>
    <n v="24.84"/>
    <n v="24.84"/>
    <m/>
    <s v="nTPA"/>
    <x v="0"/>
    <x v="0"/>
    <x v="0"/>
  </r>
  <r>
    <x v="8"/>
    <s v="DE106"/>
    <s v="DE"/>
    <n v="10"/>
    <n v="6"/>
    <s v="EWE Gasspeicher"/>
    <s v="Nüttermoor H-3"/>
    <x v="0"/>
    <s v="existing"/>
    <n v="1979"/>
    <x v="1"/>
    <m/>
    <s v="Onshore"/>
    <n v="2.69"/>
    <n v="2.69"/>
    <m/>
    <n v="82.08"/>
    <n v="82.08"/>
    <m/>
    <n v="41.04"/>
    <n v="41.04"/>
    <m/>
    <s v="nTPA"/>
    <x v="0"/>
    <x v="0"/>
    <x v="0"/>
  </r>
  <r>
    <x v="8"/>
    <s v="DE107"/>
    <s v="DE"/>
    <n v="10"/>
    <n v="7"/>
    <s v="EWE Gasspeicher"/>
    <s v="Nüttermoor L"/>
    <x v="0"/>
    <s v="existing"/>
    <n v="1979"/>
    <x v="1"/>
    <m/>
    <s v="Onshore"/>
    <n v="0.43120000000000003"/>
    <n v="0.43120000000000003"/>
    <m/>
    <n v="23.52"/>
    <n v="23.52"/>
    <m/>
    <n v="21.17"/>
    <n v="21.17"/>
    <m/>
    <s v="nTPA"/>
    <x v="0"/>
    <x v="0"/>
    <x v="0"/>
  </r>
  <r>
    <x v="8"/>
    <s v="DE108"/>
    <s v="DE"/>
    <n v="10"/>
    <n v="8"/>
    <s v="EWE Gasspeicher"/>
    <s v="Rüdersdorf H"/>
    <x v="0"/>
    <s v="existing"/>
    <n v="2007"/>
    <x v="1"/>
    <m/>
    <s v="Onshore"/>
    <n v="1.0767"/>
    <n v="1.0767"/>
    <m/>
    <n v="32.770000000000003"/>
    <n v="32.770000000000003"/>
    <m/>
    <n v="10.66"/>
    <n v="10.66"/>
    <m/>
    <s v="nTPA"/>
    <x v="0"/>
    <x v="0"/>
    <x v="0"/>
  </r>
  <r>
    <x v="8"/>
    <s v="DE111"/>
    <s v="DE"/>
    <n v="11"/>
    <n v="1"/>
    <s v="Equinor Storage Deutschland"/>
    <s v="Etzel EGL"/>
    <x v="0"/>
    <s v="existing"/>
    <n v="1993"/>
    <x v="1"/>
    <m/>
    <s v="Onshore"/>
    <n v="2.2071999999999998"/>
    <n v="2.2071999999999998"/>
    <m/>
    <n v="361.15199999999999"/>
    <n v="361.15199999999999"/>
    <m/>
    <n v="210.672"/>
    <n v="210.672"/>
    <m/>
    <s v="nTPA"/>
    <x v="0"/>
    <x v="0"/>
    <x v="0"/>
  </r>
  <r>
    <x v="8"/>
    <s v="DE121"/>
    <s v="DE"/>
    <n v="12"/>
    <n v="1"/>
    <s v="GHG - Gasspeicher Hannover"/>
    <s v="Empelde"/>
    <x v="0"/>
    <s v="existing"/>
    <n v="1982"/>
    <x v="1"/>
    <m/>
    <s v="Onshore"/>
    <n v="3.8294999999999999"/>
    <n v="3.8294999999999999"/>
    <m/>
    <n v="140.76"/>
    <n v="140.76"/>
    <m/>
    <n v="44.16"/>
    <n v="44.16"/>
    <m/>
    <s v="nTPA"/>
    <x v="0"/>
    <x v="0"/>
    <x v="0"/>
  </r>
  <r>
    <x v="8"/>
    <s v="DE122"/>
    <s v="DE"/>
    <n v="12"/>
    <n v="2"/>
    <s v="GHG - Gasspeicher Hannover"/>
    <s v="Empelde"/>
    <x v="2"/>
    <s v="expansion"/>
    <m/>
    <x v="1"/>
    <m/>
    <s v="Onshore"/>
    <n v="4.5999999999999996"/>
    <n v="4.5999999999999996"/>
    <m/>
    <n v="187.67999999999998"/>
    <n v="187.67999999999998"/>
    <m/>
    <n v="58.879999999999995"/>
    <n v="58.879999999999995"/>
    <m/>
    <s v="nTPA"/>
    <x v="0"/>
    <x v="0"/>
    <x v="0"/>
  </r>
  <r>
    <x v="8"/>
    <s v="DE131"/>
    <s v="DE"/>
    <n v="13"/>
    <n v="1"/>
    <s v="Gas Union Storage"/>
    <s v="Etzel ESE"/>
    <x v="0"/>
    <s v="existing"/>
    <n v="2012"/>
    <x v="1"/>
    <m/>
    <s v="Onshore"/>
    <n v="1.5801000000000001"/>
    <n v="1.5801000000000001"/>
    <m/>
    <n v="55.641599999999997"/>
    <n v="55.641599999999997"/>
    <m/>
    <n v="31.795200000000001"/>
    <n v="31.795200000000001"/>
    <m/>
    <s v="nTPA"/>
    <x v="0"/>
    <x v="0"/>
    <x v="0"/>
  </r>
  <r>
    <x v="8"/>
    <s v="DE132"/>
    <s v="DE"/>
    <n v="13"/>
    <n v="2"/>
    <s v="Gas Union Storage"/>
    <s v="Reckrod"/>
    <x v="0"/>
    <s v="existing"/>
    <n v="2001"/>
    <x v="1"/>
    <m/>
    <s v="Onshore"/>
    <n v="1.3225"/>
    <n v="1.3225"/>
    <m/>
    <n v="27.6"/>
    <n v="27.6"/>
    <m/>
    <n v="13.8"/>
    <n v="13.8"/>
    <m/>
    <s v="nTPA"/>
    <x v="0"/>
    <x v="0"/>
    <x v="0"/>
  </r>
  <r>
    <x v="8"/>
    <s v="DE141"/>
    <s v="DE"/>
    <n v="14"/>
    <n v="1"/>
    <s v="Hansewerk"/>
    <s v="Kiel-Rönne"/>
    <x v="0"/>
    <s v="existing"/>
    <n v="1971"/>
    <x v="1"/>
    <m/>
    <s v="Onshore"/>
    <n v="0.24299999999999999"/>
    <n v="0.24299999999999999"/>
    <m/>
    <n v="13.56"/>
    <n v="13.56"/>
    <m/>
    <n v="5.69"/>
    <n v="5.69"/>
    <m/>
    <s v="nTPA"/>
    <x v="0"/>
    <x v="0"/>
    <x v="0"/>
  </r>
  <r>
    <x v="8"/>
    <s v="DE142"/>
    <s v="DE"/>
    <n v="14"/>
    <n v="2"/>
    <s v="Hansewerk"/>
    <s v="Kraak"/>
    <x v="0"/>
    <s v="existing"/>
    <n v="2000"/>
    <x v="1"/>
    <m/>
    <s v="Onshore"/>
    <n v="2.97"/>
    <n v="2.97"/>
    <m/>
    <n v="107.52"/>
    <n v="107.52"/>
    <m/>
    <n v="48.38"/>
    <n v="48.38"/>
    <m/>
    <s v="nTPA"/>
    <x v="0"/>
    <x v="0"/>
    <x v="0"/>
  </r>
  <r>
    <x v="8"/>
    <s v="DE151"/>
    <s v="DE"/>
    <n v="15"/>
    <n v="1"/>
    <s v="innogy Gas Storage NWE"/>
    <s v="Epe L-Gas"/>
    <x v="0"/>
    <s v="existing"/>
    <n v="2012"/>
    <x v="1"/>
    <m/>
    <s v="Onshore"/>
    <n v="1.8438000000000001"/>
    <n v="1.8438000000000001"/>
    <m/>
    <n v="99.14"/>
    <n v="99.14"/>
    <m/>
    <n v="49.57"/>
    <n v="49.57"/>
    <m/>
    <s v="nTPA"/>
    <x v="0"/>
    <x v="0"/>
    <x v="0"/>
  </r>
  <r>
    <x v="8"/>
    <s v="DE152"/>
    <s v="DE"/>
    <n v="15"/>
    <n v="2"/>
    <s v="innogy Gas Storage NWE"/>
    <s v="Epe NL"/>
    <x v="0"/>
    <s v="existing"/>
    <n v="2006"/>
    <x v="1"/>
    <m/>
    <s v="Onshore"/>
    <n v="2.92"/>
    <n v="2.92"/>
    <m/>
    <n v="118.87"/>
    <n v="118.87"/>
    <m/>
    <n v="47.55"/>
    <n v="47.55"/>
    <m/>
    <s v="nTPA"/>
    <x v="0"/>
    <x v="0"/>
    <x v="0"/>
  </r>
  <r>
    <x v="8"/>
    <s v="DE153"/>
    <s v="DE"/>
    <n v="15"/>
    <n v="3"/>
    <s v="innogy Gas Storage NWE"/>
    <s v="Stassfurt"/>
    <x v="0"/>
    <s v="existing"/>
    <n v="1996"/>
    <x v="1"/>
    <m/>
    <s v="Onshore"/>
    <n v="7.2881"/>
    <n v="7.2881"/>
    <m/>
    <n v="175.27"/>
    <n v="175.27"/>
    <m/>
    <n v="83.587999999999994"/>
    <n v="83.587999999999994"/>
    <m/>
    <s v="nTPA"/>
    <x v="0"/>
    <x v="0"/>
    <x v="0"/>
  </r>
  <r>
    <x v="8"/>
    <s v="DE154"/>
    <s v="DE"/>
    <n v="15"/>
    <n v="4"/>
    <s v="innogy Gas Storage NWE"/>
    <s v="Epe H-Gas"/>
    <x v="0"/>
    <s v="existing"/>
    <n v="1990"/>
    <x v="1"/>
    <m/>
    <s v="Onshore"/>
    <n v="0"/>
    <m/>
    <m/>
    <n v="0"/>
    <m/>
    <m/>
    <n v="0"/>
    <m/>
    <m/>
    <s v="nTPA"/>
    <x v="0"/>
    <x v="1"/>
    <x v="0"/>
  </r>
  <r>
    <x v="8"/>
    <s v="DE155"/>
    <s v="DE"/>
    <n v="15"/>
    <n v="5"/>
    <s v="innogy Gas Storage NWE"/>
    <s v="Xanten"/>
    <x v="0"/>
    <s v="existing"/>
    <n v="1985"/>
    <x v="1"/>
    <m/>
    <s v="Onshore"/>
    <n v="0"/>
    <m/>
    <m/>
    <n v="0"/>
    <m/>
    <m/>
    <n v="0"/>
    <m/>
    <m/>
    <s v="nTPA"/>
    <x v="0"/>
    <x v="1"/>
    <x v="0"/>
  </r>
  <r>
    <x v="8"/>
    <s v="DE"/>
    <s v="DE"/>
    <m/>
    <m/>
    <s v="innogy Gas Storage NWE"/>
    <s v="VGS innEXpool"/>
    <x v="0"/>
    <s v="existing"/>
    <n v="1986"/>
    <x v="1"/>
    <m/>
    <s v="Onshore"/>
    <n v="6.6639999999999997"/>
    <n v="6.6639999999999997"/>
    <m/>
    <n v="325.755"/>
    <n v="325.755"/>
    <m/>
    <n v="104.023"/>
    <n v="104.023"/>
    <m/>
    <s v="nTPA"/>
    <x v="1"/>
    <x v="0"/>
    <x v="0"/>
  </r>
  <r>
    <x v="8"/>
    <s v="DE161"/>
    <s v="DE"/>
    <n v="16"/>
    <n v="1"/>
    <s v="KGE (Kommunale Gasspeichergesellschaft Epe)"/>
    <s v="Epe KGE"/>
    <x v="0"/>
    <s v="existing"/>
    <n v="2012"/>
    <x v="1"/>
    <m/>
    <s v="Onshore"/>
    <n v="2.1680000000000001"/>
    <n v="2.1680000000000001"/>
    <m/>
    <n v="109.44"/>
    <n v="109.44"/>
    <m/>
    <n v="41.04"/>
    <n v="41.04"/>
    <m/>
    <s v="nTPA"/>
    <x v="0"/>
    <x v="0"/>
    <x v="0"/>
  </r>
  <r>
    <x v="8"/>
    <s v="DE171"/>
    <s v="DE"/>
    <n v="17"/>
    <n v="1"/>
    <s v="MND Gas Storage Germany"/>
    <s v="Hähnlein"/>
    <x v="0"/>
    <s v="existing"/>
    <n v="1960"/>
    <x v="2"/>
    <s v="Aquifer"/>
    <s v="Onshore"/>
    <n v="0"/>
    <m/>
    <m/>
    <n v="0"/>
    <m/>
    <m/>
    <n v="0"/>
    <m/>
    <m/>
    <s v="nTPA"/>
    <x v="0"/>
    <x v="1"/>
    <x v="0"/>
  </r>
  <r>
    <x v="8"/>
    <s v="DE172"/>
    <s v="DE"/>
    <n v="17"/>
    <n v="2"/>
    <s v="MND Gas Storage Germany"/>
    <s v="Stockstadt"/>
    <x v="0"/>
    <s v="existing"/>
    <n v="1969"/>
    <x v="2"/>
    <s v="Aquifer"/>
    <s v="Onshore"/>
    <n v="0"/>
    <m/>
    <m/>
    <n v="0"/>
    <m/>
    <m/>
    <n v="0"/>
    <m/>
    <m/>
    <s v="nTPA"/>
    <x v="0"/>
    <x v="1"/>
    <x v="0"/>
  </r>
  <r>
    <x v="8"/>
    <s v="DE17"/>
    <s v="DE"/>
    <n v="17"/>
    <m/>
    <s v="MND Gas Storage Germany"/>
    <s v="VSG MND GSG"/>
    <x v="0"/>
    <s v="existing"/>
    <m/>
    <x v="2"/>
    <s v="Aquifer"/>
    <s v="Onshore"/>
    <n v="2.4300000000000002"/>
    <n v="2.4300000000000002"/>
    <m/>
    <n v="61.032000000000004"/>
    <n v="61.032000000000004"/>
    <m/>
    <n v="37.968000000000004"/>
    <n v="37.968000000000004"/>
    <m/>
    <s v="nTPA"/>
    <x v="1"/>
    <x v="0"/>
    <x v="0"/>
  </r>
  <r>
    <x v="8"/>
    <s v="DE181"/>
    <s v="DE"/>
    <n v="18"/>
    <n v="1"/>
    <s v="N-ERGIE"/>
    <s v="Eschenfelden"/>
    <x v="0"/>
    <s v="existing"/>
    <n v="1976"/>
    <x v="2"/>
    <m/>
    <s v="Onshore"/>
    <n v="0.22617008599999999"/>
    <n v="0.22617008599999999"/>
    <m/>
    <n v="162.8775"/>
    <n v="162.8775"/>
    <m/>
    <n v="52.011499999999998"/>
    <n v="52.011499999999998"/>
    <m/>
    <s v="nTPA"/>
    <x v="0"/>
    <x v="0"/>
    <x v="0"/>
  </r>
  <r>
    <x v="8"/>
    <s v="DE191"/>
    <s v="DE"/>
    <n v="19"/>
    <n v="1"/>
    <s v="Nuon"/>
    <s v="Epe Nuon"/>
    <x v="0"/>
    <s v="existing"/>
    <n v="2007"/>
    <x v="1"/>
    <m/>
    <s v="Onshore"/>
    <n v="3.012"/>
    <n v="3.012"/>
    <m/>
    <n v="141.81"/>
    <n v="141.81"/>
    <m/>
    <n v="70.8"/>
    <n v="70.8"/>
    <m/>
    <s v="nTPA"/>
    <x v="0"/>
    <x v="0"/>
    <x v="0"/>
  </r>
  <r>
    <x v="8"/>
    <s v="DE201"/>
    <s v="DE"/>
    <n v="20"/>
    <n v="1"/>
    <s v="OMV Gas Storage Germany"/>
    <s v="Etzel ESE"/>
    <x v="0"/>
    <s v="existing"/>
    <n v="2012"/>
    <x v="1"/>
    <m/>
    <s v="Onshore"/>
    <n v="5.2949999999999999"/>
    <n v="5.2949999999999999"/>
    <m/>
    <n v="106.8"/>
    <n v="106.8"/>
    <m/>
    <n v="71.28"/>
    <n v="71.28"/>
    <m/>
    <s v="nTPA"/>
    <x v="0"/>
    <x v="0"/>
    <x v="0"/>
  </r>
  <r>
    <x v="8"/>
    <s v="DE211"/>
    <s v="DE"/>
    <n v="21"/>
    <n v="1"/>
    <s v="Ontras Gastransport"/>
    <s v="Bruggraf-Bernsdorf"/>
    <x v="0"/>
    <s v="existing"/>
    <n v="1970"/>
    <x v="1"/>
    <m/>
    <s v="Onshore"/>
    <n v="3.4500000000000003E-2"/>
    <n v="0"/>
    <n v="3.4500000000000003E-2"/>
    <n v="0"/>
    <m/>
    <m/>
    <n v="0"/>
    <m/>
    <m/>
    <s v="No TPA"/>
    <x v="0"/>
    <x v="0"/>
    <x v="0"/>
  </r>
  <r>
    <x v="8"/>
    <s v="DE221"/>
    <s v="DE"/>
    <n v="22"/>
    <n v="1"/>
    <s v="Stadtwerke Bremen (wesernetz)"/>
    <s v="Bremen-Lesum"/>
    <x v="0"/>
    <s v="existing"/>
    <n v="2000"/>
    <x v="1"/>
    <m/>
    <s v="Onshore"/>
    <n v="0.86250000000000004"/>
    <n v="0.86250000000000004"/>
    <m/>
    <n v="4.1399999999999997"/>
    <n v="4.1399999999999997"/>
    <m/>
    <n v="1.38"/>
    <n v="1.38"/>
    <m/>
    <s v="nTPA"/>
    <x v="0"/>
    <x v="0"/>
    <x v="0"/>
  </r>
  <r>
    <x v="8"/>
    <s v="DE231"/>
    <s v="DE"/>
    <n v="23"/>
    <n v="1"/>
    <s v="Stadtwerke Kiel"/>
    <s v="Kiel-Rönne"/>
    <x v="0"/>
    <s v="existing"/>
    <n v="1971"/>
    <x v="1"/>
    <m/>
    <s v="Onshore"/>
    <n v="0.503"/>
    <n v="0.503"/>
    <m/>
    <n v="13.68"/>
    <n v="13.68"/>
    <m/>
    <n v="5.88"/>
    <n v="5.88"/>
    <m/>
    <s v="nTPA"/>
    <x v="0"/>
    <x v="0"/>
    <x v="0"/>
  </r>
  <r>
    <x v="8"/>
    <s v="DE241"/>
    <s v="DE"/>
    <n v="24"/>
    <n v="1"/>
    <s v="Storengy Deutschland"/>
    <s v="Bremen-Lesum"/>
    <x v="0"/>
    <s v="existing"/>
    <n v="2000"/>
    <x v="1"/>
    <m/>
    <s v="Onshore"/>
    <n v="1.5980000000000001"/>
    <n v="1.5980000000000001"/>
    <m/>
    <n v="52.008000000000003"/>
    <n v="52.008000000000003"/>
    <m/>
    <n v="24.821999999999999"/>
    <n v="24.821999999999999"/>
    <m/>
    <s v="nTPA"/>
    <x v="0"/>
    <x v="0"/>
    <x v="0"/>
  </r>
  <r>
    <x v="8"/>
    <s v="DE242"/>
    <s v="DE"/>
    <n v="24"/>
    <n v="2"/>
    <s v="Storengy Deutschland"/>
    <s v="Fronhofen-Trigonodus"/>
    <x v="0"/>
    <s v="existing"/>
    <n v="1997"/>
    <x v="0"/>
    <s v="Gas"/>
    <s v="Onshore"/>
    <n v="0.12039999999999999"/>
    <n v="0.12039999999999999"/>
    <m/>
    <n v="8.0280000000000005"/>
    <n v="8.0280000000000005"/>
    <m/>
    <n v="5.3520000000000003"/>
    <n v="5.3520000000000003"/>
    <m/>
    <s v="nTPA"/>
    <x v="0"/>
    <x v="0"/>
    <x v="0"/>
  </r>
  <r>
    <x v="8"/>
    <s v="DE243"/>
    <s v="DE"/>
    <n v="24"/>
    <n v="3"/>
    <s v="Storengy Deutschland"/>
    <s v="Harsefeld"/>
    <x v="0"/>
    <s v="existing"/>
    <n v="1992"/>
    <x v="1"/>
    <m/>
    <s v="Onshore"/>
    <n v="1.2422"/>
    <n v="1.2422"/>
    <m/>
    <n v="81.72"/>
    <n v="81.72"/>
    <m/>
    <n v="24.667000000000002"/>
    <n v="24.667000000000002"/>
    <m/>
    <s v="nTPA"/>
    <x v="0"/>
    <x v="0"/>
    <x v="0"/>
  </r>
  <r>
    <x v="8"/>
    <s v="DE244"/>
    <s v="DE"/>
    <n v="24"/>
    <n v="4"/>
    <s v="Storengy Deutschland"/>
    <s v="Peckensen"/>
    <x v="0"/>
    <s v="existing"/>
    <n v="2002"/>
    <x v="1"/>
    <m/>
    <s v="Onshore"/>
    <n v="3.931"/>
    <n v="3.931"/>
    <m/>
    <n v="231.958"/>
    <n v="231.958"/>
    <m/>
    <n v="84.671999999999997"/>
    <n v="84.671999999999997"/>
    <m/>
    <s v="nTPA"/>
    <x v="0"/>
    <x v="0"/>
    <x v="0"/>
  </r>
  <r>
    <x v="8"/>
    <s v="DE245"/>
    <s v="DE"/>
    <n v="24"/>
    <n v="5"/>
    <s v="Storengy Deutschland"/>
    <s v="Schmidhausen"/>
    <x v="0"/>
    <s v="existing"/>
    <n v="1983"/>
    <x v="0"/>
    <s v="Gas"/>
    <s v="Onshore"/>
    <n v="1.74"/>
    <n v="1.74"/>
    <m/>
    <n v="40.32"/>
    <n v="40.32"/>
    <m/>
    <n v="10.75"/>
    <n v="10.75"/>
    <m/>
    <s v="nTPA"/>
    <x v="0"/>
    <x v="0"/>
    <x v="0"/>
  </r>
  <r>
    <x v="8"/>
    <s v="DE246"/>
    <s v="DE"/>
    <n v="24"/>
    <n v="6"/>
    <s v="Storengy Deutschland"/>
    <s v="Uelsen"/>
    <x v="0"/>
    <s v="existing"/>
    <n v="1997"/>
    <x v="0"/>
    <s v="Gas"/>
    <s v="Onshore"/>
    <n v="9.7751999999999999"/>
    <n v="9.7751999999999999"/>
    <m/>
    <n v="107.598"/>
    <n v="107.598"/>
    <m/>
    <n v="81.025000000000006"/>
    <n v="81.025000000000006"/>
    <m/>
    <s v="nTPA"/>
    <x v="0"/>
    <x v="0"/>
    <x v="0"/>
  </r>
  <r>
    <x v="8"/>
    <s v="DE251"/>
    <s v="DE"/>
    <n v="25"/>
    <n v="1"/>
    <s v="TEP (Thüringer Energie Speichergesellschaft)"/>
    <s v="Allmenhausen"/>
    <x v="0"/>
    <s v="existing"/>
    <n v="1996"/>
    <x v="0"/>
    <s v="Gas"/>
    <s v="Onshore"/>
    <n v="0.71299999999999997"/>
    <n v="0.71299999999999997"/>
    <m/>
    <n v="17.111999999999998"/>
    <n v="17.111999999999998"/>
    <m/>
    <n v="8.5559999999999992"/>
    <n v="8.5559999999999992"/>
    <m/>
    <s v="nTPA"/>
    <x v="0"/>
    <x v="0"/>
    <x v="0"/>
  </r>
  <r>
    <x v="8"/>
    <s v="DE261"/>
    <s v="DE"/>
    <n v="26"/>
    <n v="1"/>
    <s v="terranets bw"/>
    <s v="Sandhausen"/>
    <x v="0"/>
    <s v="existing"/>
    <n v="1991"/>
    <x v="2"/>
    <m/>
    <s v="Onshore"/>
    <n v="0.34499999999999997"/>
    <n v="0"/>
    <n v="0.34499999999999997"/>
    <n v="12.420000000000002"/>
    <n v="0"/>
    <n v="12.420000000000002"/>
    <n v="5.52"/>
    <n v="0"/>
    <n v="5.52"/>
    <s v="No TPA"/>
    <x v="0"/>
    <x v="0"/>
    <x v="0"/>
  </r>
  <r>
    <x v="8"/>
    <s v="DE271"/>
    <s v="DE"/>
    <n v="27"/>
    <n v="1"/>
    <s v="Total Etzel Gaslager"/>
    <s v="Etzel EGL"/>
    <x v="0"/>
    <s v="existing"/>
    <n v="1993"/>
    <x v="1"/>
    <m/>
    <s v="Onshore"/>
    <n v="6.2932289500000002E-2"/>
    <n v="6.2932289500000002E-2"/>
    <m/>
    <n v="1.9656720000000001"/>
    <n v="1.9656720000000001"/>
    <m/>
    <n v="0.89341199999999998"/>
    <n v="0.89341199999999998"/>
    <m/>
    <s v="nTPA"/>
    <x v="0"/>
    <x v="0"/>
    <x v="0"/>
  </r>
  <r>
    <x v="8"/>
    <s v="DE281"/>
    <s v="DE"/>
    <n v="28"/>
    <n v="1"/>
    <s v="TGE (Trianel Gasspeicher Epe)"/>
    <s v="Epe Trianel"/>
    <x v="0"/>
    <s v="existing"/>
    <n v="2008"/>
    <x v="1"/>
    <m/>
    <s v="Onshore"/>
    <n v="2.2265999999999999"/>
    <n v="2.2265999999999999"/>
    <m/>
    <n v="164.88"/>
    <n v="164.88"/>
    <m/>
    <n v="82.44"/>
    <n v="82.44"/>
    <m/>
    <s v="nTPA"/>
    <x v="0"/>
    <x v="0"/>
    <x v="0"/>
  </r>
  <r>
    <x v="8"/>
    <s v="DE291"/>
    <s v="DE"/>
    <n v="29"/>
    <n v="1"/>
    <s v="Uniper Energy Storage"/>
    <s v="Bierwang"/>
    <x v="0"/>
    <s v="existing"/>
    <n v="1975"/>
    <x v="0"/>
    <s v="Gas"/>
    <s v="Onshore"/>
    <n v="9.1839999999999993"/>
    <n v="9.1839999999999993"/>
    <m/>
    <n v="349.44"/>
    <n v="349.44"/>
    <m/>
    <n v="268.8"/>
    <n v="268.8"/>
    <m/>
    <s v="nTPA"/>
    <x v="0"/>
    <x v="0"/>
    <x v="0"/>
  </r>
  <r>
    <x v="8"/>
    <s v="DE292"/>
    <s v="DE"/>
    <n v="29"/>
    <n v="2"/>
    <s v="Uniper Energy Storage"/>
    <s v="Breitbrunn"/>
    <x v="0"/>
    <s v="existing"/>
    <n v="1996"/>
    <x v="0"/>
    <s v="Gas"/>
    <s v="Onshore"/>
    <n v="11.1104"/>
    <n v="11.1104"/>
    <m/>
    <n v="139.77600000000001"/>
    <n v="139.77600000000001"/>
    <m/>
    <n v="67.2"/>
    <n v="67.2"/>
    <m/>
    <s v="nTPA"/>
    <x v="0"/>
    <x v="0"/>
    <x v="0"/>
  </r>
  <r>
    <x v="8"/>
    <s v="DE293"/>
    <s v="DE"/>
    <n v="29"/>
    <n v="3"/>
    <s v="Uniper Energy Storage"/>
    <s v="Epe Uniper H-Gas"/>
    <x v="0"/>
    <s v="existing"/>
    <n v="1976"/>
    <x v="1"/>
    <m/>
    <s v="Onshore"/>
    <n v="15.3043"/>
    <n v="15.3043"/>
    <m/>
    <n v="465.12"/>
    <n v="465.12"/>
    <m/>
    <n v="328.32"/>
    <n v="328.32"/>
    <m/>
    <s v="nTPA"/>
    <x v="0"/>
    <x v="0"/>
    <x v="0"/>
  </r>
  <r>
    <x v="8"/>
    <s v="DE294"/>
    <s v="DE"/>
    <n v="29"/>
    <n v="4"/>
    <s v="Uniper Energy Storage"/>
    <s v="Epe Uniper L-Gas"/>
    <x v="0"/>
    <s v="existing"/>
    <n v="1976"/>
    <x v="1"/>
    <m/>
    <s v="Onshore"/>
    <n v="4.26"/>
    <n v="4.26"/>
    <m/>
    <n v="285.12"/>
    <n v="285.12"/>
    <m/>
    <n v="57.024000000000001"/>
    <n v="57.024000000000001"/>
    <m/>
    <s v="nTPA"/>
    <x v="0"/>
    <x v="0"/>
    <x v="0"/>
  </r>
  <r>
    <x v="8"/>
    <s v="DE295"/>
    <s v="DE"/>
    <n v="29"/>
    <n v="5"/>
    <s v="Uniper Energy Storage"/>
    <s v="Eschenfelden"/>
    <x v="0"/>
    <s v="existing"/>
    <n v="1976"/>
    <x v="2"/>
    <m/>
    <s v="Onshore"/>
    <n v="0.44400000000000001"/>
    <n v="0.44400000000000001"/>
    <m/>
    <n v="10.848000000000001"/>
    <n v="10.848000000000001"/>
    <m/>
    <n v="5.4240000000000004"/>
    <n v="5.4240000000000004"/>
    <m/>
    <s v="nTPA"/>
    <x v="0"/>
    <x v="0"/>
    <x v="0"/>
  </r>
  <r>
    <x v="8"/>
    <s v="DE296"/>
    <s v="DE"/>
    <n v="29"/>
    <n v="6"/>
    <s v="Uniper Energy Storage"/>
    <s v="Etzel EGL"/>
    <x v="0"/>
    <s v="existing"/>
    <n v="1993"/>
    <x v="1"/>
    <m/>
    <s v="Onshore"/>
    <n v="11.318099999999999"/>
    <n v="11.318099999999999"/>
    <m/>
    <n v="271.68400000000003"/>
    <n v="271.68400000000003"/>
    <m/>
    <n v="155.67840000000001"/>
    <n v="155.67840000000001"/>
    <m/>
    <s v="nTPA"/>
    <x v="0"/>
    <x v="0"/>
    <x v="0"/>
  </r>
  <r>
    <x v="8"/>
    <s v="DE297"/>
    <s v="DE"/>
    <n v="29"/>
    <n v="7"/>
    <s v="Uniper Energy Storage"/>
    <s v="Etzel ESE"/>
    <x v="0"/>
    <s v="existing"/>
    <n v="2012"/>
    <x v="1"/>
    <m/>
    <s v="Onshore"/>
    <n v="12.0983"/>
    <n v="12.0983"/>
    <m/>
    <n v="396.72"/>
    <n v="396.72"/>
    <m/>
    <n v="425.63900000000001"/>
    <n v="425.63900000000001"/>
    <m/>
    <s v="nTPA"/>
    <x v="0"/>
    <x v="0"/>
    <x v="0"/>
  </r>
  <r>
    <x v="8"/>
    <s v="DE301"/>
    <s v="DE"/>
    <n v="30"/>
    <n v="1"/>
    <s v="VNG Gasspeicher"/>
    <s v="Etzel ESE"/>
    <x v="0"/>
    <s v="existing"/>
    <n v="2012"/>
    <x v="1"/>
    <m/>
    <s v="Onshore"/>
    <n v="1.4033"/>
    <n v="1.4033"/>
    <m/>
    <n v="46.17"/>
    <n v="46.17"/>
    <m/>
    <n v="28.728000000000002"/>
    <n v="28.728000000000002"/>
    <m/>
    <s v="nTPA"/>
    <x v="0"/>
    <x v="1"/>
    <x v="0"/>
  </r>
  <r>
    <x v="8"/>
    <s v="DE302"/>
    <s v="DE"/>
    <n v="30"/>
    <n v="2"/>
    <s v="VNG Gasspeicher"/>
    <s v="Kirchheiligen"/>
    <x v="0"/>
    <s v="existing"/>
    <n v="1973"/>
    <x v="0"/>
    <s v="Gas"/>
    <s v="Onshore"/>
    <n v="2.0205000000000002"/>
    <n v="2.0205000000000002"/>
    <m/>
    <n v="33.674999999999997"/>
    <n v="33.674999999999997"/>
    <m/>
    <n v="37.716000000000001"/>
    <n v="37.716000000000001"/>
    <m/>
    <s v="nTPA"/>
    <x v="0"/>
    <x v="1"/>
    <x v="0"/>
  </r>
  <r>
    <x v="8"/>
    <s v="DE303"/>
    <s v="DE"/>
    <n v="30"/>
    <n v="3"/>
    <s v="VNG Gasspeicher"/>
    <s v="Bernburg"/>
    <x v="0"/>
    <s v="existing"/>
    <n v="1974"/>
    <x v="1"/>
    <m/>
    <s v="Onshore"/>
    <n v="0"/>
    <m/>
    <m/>
    <n v="0"/>
    <m/>
    <m/>
    <n v="0"/>
    <m/>
    <m/>
    <s v="nTPA"/>
    <x v="0"/>
    <x v="1"/>
    <x v="0"/>
  </r>
  <r>
    <x v="8"/>
    <s v="DE304"/>
    <s v="DE"/>
    <n v="30"/>
    <n v="4"/>
    <s v="VNG Gasspeicher"/>
    <s v="Bad Lauchstädt"/>
    <x v="0"/>
    <s v="existing"/>
    <n v="1975"/>
    <x v="1"/>
    <m/>
    <s v="Onshore"/>
    <n v="0"/>
    <m/>
    <m/>
    <n v="0"/>
    <m/>
    <m/>
    <n v="0"/>
    <m/>
    <m/>
    <s v="nTPA"/>
    <x v="0"/>
    <x v="1"/>
    <x v="0"/>
  </r>
  <r>
    <x v="8"/>
    <s v="DE305"/>
    <s v="DE"/>
    <n v="30"/>
    <n v="5"/>
    <s v="VNG Gasspeicher"/>
    <s v="Bad Lauchstädt"/>
    <x v="0"/>
    <s v="existing"/>
    <n v="1975"/>
    <x v="0"/>
    <s v="Gas"/>
    <s v="Onshore"/>
    <n v="0"/>
    <m/>
    <m/>
    <n v="0"/>
    <m/>
    <m/>
    <n v="0"/>
    <m/>
    <m/>
    <s v="nTPA"/>
    <x v="0"/>
    <x v="1"/>
    <x v="0"/>
  </r>
  <r>
    <x v="8"/>
    <s v="DE"/>
    <s v="DE"/>
    <m/>
    <m/>
    <s v="VNG Gasspeicher"/>
    <s v="VGS storage hub"/>
    <x v="0"/>
    <s v="existing"/>
    <m/>
    <x v="4"/>
    <m/>
    <s v="Onshore"/>
    <n v="23.487400000000001"/>
    <n v="23.487400000000001"/>
    <m/>
    <n v="496.15030000000002"/>
    <n v="496.15030000000002"/>
    <m/>
    <n v="294.97390000000001"/>
    <n v="294.97390000000001"/>
    <m/>
    <s v="nTPA"/>
    <x v="1"/>
    <x v="0"/>
    <x v="0"/>
  </r>
  <r>
    <x v="9"/>
    <s v="GR11"/>
    <s v="GR"/>
    <n v="1"/>
    <n v="1"/>
    <s v="Hellenic Republic Asset Development Fund"/>
    <s v="South Kavala"/>
    <x v="2"/>
    <s v="new facility"/>
    <n v="2022"/>
    <x v="0"/>
    <s v="Gas"/>
    <s v="Onshore"/>
    <n v="3.8605"/>
    <n v="3.8605"/>
    <m/>
    <n v="44.12"/>
    <n v="44.12"/>
    <m/>
    <n v="55.15"/>
    <n v="55.15"/>
    <m/>
    <s v="rTPA"/>
    <x v="0"/>
    <x v="0"/>
    <x v="0"/>
  </r>
  <r>
    <x v="10"/>
    <s v="HU11"/>
    <s v="HU"/>
    <n v="1"/>
    <n v="1"/>
    <s v="Hungarian Gas Storage"/>
    <s v="Hajdúszoboszló"/>
    <x v="0"/>
    <s v="existing"/>
    <n v="1981"/>
    <x v="0"/>
    <m/>
    <s v="Onshore"/>
    <n v="17.547999999999998"/>
    <n v="17.547999999999998"/>
    <m/>
    <n v="211.86"/>
    <n v="211.86"/>
    <m/>
    <n v="107.86"/>
    <n v="107.86"/>
    <m/>
    <s v="rTPA"/>
    <x v="0"/>
    <x v="0"/>
    <x v="0"/>
  </r>
  <r>
    <x v="10"/>
    <s v="HU12"/>
    <s v="HU"/>
    <n v="1"/>
    <n v="2"/>
    <s v="Hungarian Gas Storage"/>
    <s v="Kardoskút"/>
    <x v="0"/>
    <s v="existing"/>
    <n v="1978"/>
    <x v="0"/>
    <m/>
    <s v="Onshore"/>
    <n v="2.996"/>
    <n v="2.996"/>
    <m/>
    <n v="31.03"/>
    <n v="31.03"/>
    <m/>
    <n v="23.01"/>
    <n v="23.01"/>
    <m/>
    <s v="rTPA"/>
    <x v="0"/>
    <x v="0"/>
    <x v="0"/>
  </r>
  <r>
    <x v="10"/>
    <s v="HU13"/>
    <s v="HU"/>
    <n v="1"/>
    <n v="3"/>
    <s v="Hungarian Gas Storage"/>
    <s v="Pusztaederics"/>
    <x v="0"/>
    <s v="existing"/>
    <n v="1979"/>
    <x v="0"/>
    <m/>
    <s v="Onshore"/>
    <n v="3.6379999999999999"/>
    <n v="3.6379999999999999"/>
    <m/>
    <n v="31.03"/>
    <n v="31.03"/>
    <m/>
    <n v="30.82"/>
    <n v="30.82"/>
    <m/>
    <s v="rTPA"/>
    <x v="0"/>
    <x v="0"/>
    <x v="0"/>
  </r>
  <r>
    <x v="10"/>
    <s v="HU14"/>
    <s v="HU"/>
    <n v="1"/>
    <n v="4"/>
    <s v="Hungarian Gas Storage"/>
    <s v="Zsana"/>
    <x v="0"/>
    <s v="existing"/>
    <n v="1996"/>
    <x v="0"/>
    <m/>
    <s v="Onshore"/>
    <n v="23.219000000000001"/>
    <n v="23.219000000000001"/>
    <m/>
    <n v="299.60000000000002"/>
    <n v="299.60000000000002"/>
    <m/>
    <n v="181.9"/>
    <n v="181.9"/>
    <m/>
    <s v="rTPA"/>
    <x v="0"/>
    <x v="0"/>
    <x v="0"/>
  </r>
  <r>
    <x v="10"/>
    <s v="HU1"/>
    <s v="HU"/>
    <n v="1"/>
    <m/>
    <s v="Hungarian Gas Storage"/>
    <s v="VGS MFGT"/>
    <x v="0"/>
    <s v="existing"/>
    <m/>
    <x v="0"/>
    <m/>
    <s v="Onshore"/>
    <n v="47.400999999999996"/>
    <n v="47.400999999999996"/>
    <m/>
    <n v="617.64"/>
    <n v="617.64"/>
    <m/>
    <n v="398.74"/>
    <n v="398.74"/>
    <m/>
    <s v="rTPA"/>
    <x v="1"/>
    <x v="1"/>
    <x v="0"/>
  </r>
  <r>
    <x v="10"/>
    <s v="HU21"/>
    <s v="HU"/>
    <n v="2"/>
    <n v="1"/>
    <s v="MMBF"/>
    <s v="Szöreg-1"/>
    <x v="0"/>
    <s v="existing"/>
    <n v="2009"/>
    <x v="0"/>
    <s v="Oil Field with Gas Cap"/>
    <s v="Onshore"/>
    <n v="20.1129"/>
    <n v="20.1129"/>
    <m/>
    <n v="263.89999999999998"/>
    <n v="263.89999999999998"/>
    <m/>
    <n v="134.06200000000001"/>
    <n v="134.06200000000001"/>
    <m/>
    <s v="rTPA"/>
    <x v="0"/>
    <x v="0"/>
    <x v="0"/>
  </r>
  <r>
    <x v="11"/>
    <s v="IT11"/>
    <s v="IT"/>
    <n v="1"/>
    <n v="1"/>
    <s v="Edison Stoccaggio"/>
    <s v="Cellino"/>
    <x v="0"/>
    <s v="existing"/>
    <n v="1984"/>
    <x v="0"/>
    <s v="Gas"/>
    <s v="Onshore"/>
    <n v="3.1718249999999948E-2"/>
    <m/>
    <n v="3.1718249999999948E-2"/>
    <n v="0"/>
    <m/>
    <n v="0"/>
    <n v="0"/>
    <m/>
    <n v="0"/>
    <s v="rTPA"/>
    <x v="0"/>
    <x v="1"/>
    <x v="0"/>
  </r>
  <r>
    <x v="11"/>
    <s v="IT12"/>
    <s v="IT"/>
    <n v="1"/>
    <n v="2"/>
    <s v="Edison Stoccaggio"/>
    <s v="Collalto"/>
    <x v="0"/>
    <s v="existing"/>
    <n v="1994"/>
    <x v="0"/>
    <s v="Gas"/>
    <s v="Onshore"/>
    <n v="0.21145499999999995"/>
    <m/>
    <n v="0.21145499999999995"/>
    <n v="37.00462499999999"/>
    <m/>
    <n v="37.00462499999999"/>
    <n v="20.088225000000001"/>
    <m/>
    <n v="20.088225000000001"/>
    <s v="rTPA"/>
    <x v="0"/>
    <x v="1"/>
    <x v="0"/>
  </r>
  <r>
    <x v="11"/>
    <s v="IT13"/>
    <s v="IT"/>
    <n v="1"/>
    <n v="3"/>
    <s v="Edison Stoccaggio"/>
    <s v="Cotignola &amp; San Potito"/>
    <x v="0"/>
    <s v="existing"/>
    <n v="2013"/>
    <x v="0"/>
    <s v="Gas"/>
    <s v="Onshore"/>
    <n v="0.24317325000000034"/>
    <m/>
    <n v="0.24317325000000034"/>
    <n v="56.035575000000001"/>
    <m/>
    <n v="56.035575000000001"/>
    <n v="61.533404999999995"/>
    <m/>
    <n v="61.533404999999995"/>
    <s v="rTPA"/>
    <x v="0"/>
    <x v="1"/>
    <x v="0"/>
  </r>
  <r>
    <x v="11"/>
    <s v="IT1"/>
    <s v="IT"/>
    <n v="1"/>
    <m/>
    <s v="Edison Stoccaggio"/>
    <s v="VGS Edison Stoccaggio"/>
    <x v="0"/>
    <s v="existing"/>
    <m/>
    <x v="0"/>
    <s v="Gas"/>
    <s v="Onshore"/>
    <n v="11.324446500000001"/>
    <n v="10.838100000000001"/>
    <n v="0.48634650000000024"/>
    <n v="186.64019999999999"/>
    <n v="93.6"/>
    <n v="93.040199999999999"/>
    <n v="156.50162999999998"/>
    <n v="74.88"/>
    <n v="81.621629999999996"/>
    <s v="rTPA"/>
    <x v="1"/>
    <x v="0"/>
    <x v="0"/>
  </r>
  <r>
    <x v="11"/>
    <s v="IT61"/>
    <s v="IT"/>
    <n v="6"/>
    <n v="1"/>
    <s v="GDF Suez Italy"/>
    <s v="Bagnolo Mella"/>
    <x v="2"/>
    <s v="on hold"/>
    <m/>
    <x v="0"/>
    <m/>
    <s v="Onshore"/>
    <n v="7.2162000000000006"/>
    <n v="7.2162000000000006"/>
    <m/>
    <n v="0"/>
    <m/>
    <m/>
    <n v="0"/>
    <m/>
    <m/>
    <s v="rTPA"/>
    <x v="0"/>
    <x v="0"/>
    <x v="0"/>
  </r>
  <r>
    <x v="11"/>
    <s v="IT16"/>
    <s v="IT"/>
    <n v="1"/>
    <n v="6"/>
    <s v="Edison Stoccaggio"/>
    <s v="Palazzo Moroni"/>
    <x v="2"/>
    <s v="on hold"/>
    <n v="2019"/>
    <x v="0"/>
    <s v="Gas"/>
    <s v="Onshore"/>
    <n v="0.57000000000000006"/>
    <n v="0.57000000000000006"/>
    <m/>
    <n v="9.5154750000000003"/>
    <n v="9.5154750000000003"/>
    <m/>
    <n v="9.5154750000000003"/>
    <n v="9.5154750000000003"/>
    <m/>
    <s v="rTPA"/>
    <x v="0"/>
    <x v="0"/>
    <x v="0"/>
  </r>
  <r>
    <x v="11"/>
    <s v="IT21"/>
    <s v="IT"/>
    <n v="2"/>
    <n v="1"/>
    <s v="Gas Plus Storage"/>
    <s v="San Benedetto"/>
    <x v="2"/>
    <s v="new facility"/>
    <m/>
    <x v="0"/>
    <m/>
    <s v="Onshore"/>
    <n v="5.742"/>
    <n v="3.8279999999999998"/>
    <n v="1.9139999999999999"/>
    <n v="65.34"/>
    <n v="65.34"/>
    <m/>
    <n v="65.34"/>
    <n v="65.34"/>
    <m/>
    <s v="rTPA"/>
    <x v="0"/>
    <x v="0"/>
    <x v="0"/>
  </r>
  <r>
    <x v="11"/>
    <s v="IT22"/>
    <s v="IT"/>
    <n v="2"/>
    <n v="2"/>
    <s v="Gas Plus Storage"/>
    <s v="Poggiofiorito"/>
    <x v="2"/>
    <s v="new facility"/>
    <m/>
    <x v="0"/>
    <m/>
    <s v="Onshore"/>
    <n v="1.8260000000000001"/>
    <n v="1.2173333333333334"/>
    <n v="0.60866666666666669"/>
    <n v="18.7"/>
    <n v="18.7"/>
    <m/>
    <n v="18.7"/>
    <n v="18.7"/>
    <m/>
    <s v="rTPA"/>
    <x v="0"/>
    <x v="0"/>
    <x v="0"/>
  </r>
  <r>
    <x v="11"/>
    <s v="IT23"/>
    <s v="IT"/>
    <n v="2"/>
    <n v="3"/>
    <s v="Gas Plus Storage"/>
    <s v="Sinarca"/>
    <x v="2"/>
    <s v="new facility"/>
    <m/>
    <x v="0"/>
    <m/>
    <s v="Onshore"/>
    <n v="3.5640000000000001"/>
    <n v="2.3759999999999999"/>
    <n v="1.1879999999999999"/>
    <n v="35.200000000000003"/>
    <n v="35.200000000000003"/>
    <m/>
    <n v="35.200000000000003"/>
    <n v="35.200000000000003"/>
    <m/>
    <s v="rTPA"/>
    <x v="0"/>
    <x v="0"/>
    <x v="0"/>
  </r>
  <r>
    <x v="11"/>
    <s v="IT31"/>
    <s v="IT"/>
    <n v="3"/>
    <n v="1"/>
    <s v="Geogastock"/>
    <s v="Cugno le Macine (Grottole-Ferrandina)"/>
    <x v="2"/>
    <s v="new facility"/>
    <m/>
    <x v="0"/>
    <m/>
    <s v="Onshore"/>
    <n v="8.8000000000000007"/>
    <n v="8.8000000000000007"/>
    <m/>
    <n v="110"/>
    <n v="110"/>
    <m/>
    <n v="110"/>
    <n v="110"/>
    <m/>
    <s v="rTPA"/>
    <x v="0"/>
    <x v="0"/>
    <x v="0"/>
  </r>
  <r>
    <x v="11"/>
    <s v="IT41"/>
    <s v="IT"/>
    <n v="4"/>
    <n v="1"/>
    <s v="Ital Gas Storage"/>
    <s v="Cornegliano"/>
    <x v="1"/>
    <s v="new facility"/>
    <n v="2018"/>
    <x v="0"/>
    <s v="Gas"/>
    <s v="Onshore"/>
    <n v="24.200000000000003"/>
    <n v="14.3"/>
    <n v="9.9"/>
    <n v="297"/>
    <n v="297"/>
    <m/>
    <n v="297"/>
    <n v="297"/>
    <m/>
    <s v="rTPA"/>
    <x v="0"/>
    <x v="0"/>
    <x v="0"/>
  </r>
  <r>
    <x v="11"/>
    <s v="IT510"/>
    <s v="IT"/>
    <n v="5"/>
    <n v="10"/>
    <s v="STOGIT"/>
    <s v="Alfonsine"/>
    <x v="2"/>
    <s v="new facility"/>
    <n v="2026"/>
    <x v="0"/>
    <m/>
    <s v="Onshore"/>
    <n v="1.5509368421052632"/>
    <n v="1.5509368421052632"/>
    <n v="0"/>
    <n v="25.858521052631577"/>
    <n v="25.858521052631577"/>
    <m/>
    <n v="25.858521052631577"/>
    <n v="25.858521052631577"/>
    <n v="0"/>
    <s v="rTPA"/>
    <x v="0"/>
    <x v="0"/>
    <x v="0"/>
  </r>
  <r>
    <x v="11"/>
    <s v="IT511"/>
    <s v="IT"/>
    <n v="5"/>
    <n v="11"/>
    <s v="STOGIT"/>
    <s v="Bordolano"/>
    <x v="1"/>
    <s v="expansion"/>
    <n v="2019"/>
    <x v="0"/>
    <m/>
    <s v="Onshore"/>
    <n v="2.5848947368421054"/>
    <n v="2.5848947368421054"/>
    <n v="0"/>
    <n v="20.688731578947365"/>
    <n v="20.688731578947365"/>
    <m/>
    <n v="0"/>
    <n v="0"/>
    <n v="0"/>
    <s v="rTPA"/>
    <x v="0"/>
    <x v="0"/>
    <x v="0"/>
  </r>
  <r>
    <x v="11"/>
    <s v="IT512"/>
    <s v="IT"/>
    <n v="5"/>
    <n v="12"/>
    <s v="STOGIT"/>
    <s v="Fiume Treste"/>
    <x v="2"/>
    <s v="expansion"/>
    <n v="2021"/>
    <x v="0"/>
    <m/>
    <s v="Onshore"/>
    <n v="2.0679157894736844"/>
    <n v="2.0679157894736844"/>
    <n v="0"/>
    <n v="41.377463157894731"/>
    <n v="41.377463157894731"/>
    <m/>
    <n v="0"/>
    <n v="0"/>
    <n v="0"/>
    <s v="rTPA"/>
    <x v="0"/>
    <x v="0"/>
    <x v="0"/>
  </r>
  <r>
    <x v="11"/>
    <s v="IT513"/>
    <s v="IT"/>
    <n v="5"/>
    <n v="13"/>
    <s v="STOGIT"/>
    <s v="Fiume Treste F"/>
    <x v="2"/>
    <s v="expansion"/>
    <n v="2021"/>
    <x v="0"/>
    <m/>
    <s v="Onshore"/>
    <n v="2.0679157894736844"/>
    <n v="2.0679157894736844"/>
    <n v="0"/>
    <n v="0"/>
    <n v="0"/>
    <m/>
    <n v="0"/>
    <n v="0"/>
    <n v="0"/>
    <s v="rTPA"/>
    <x v="0"/>
    <x v="0"/>
    <x v="0"/>
  </r>
  <r>
    <x v="11"/>
    <s v="IT514"/>
    <s v="IT"/>
    <n v="5"/>
    <n v="14"/>
    <s v="STOGIT"/>
    <s v="Minerbio"/>
    <x v="1"/>
    <s v="expansion"/>
    <n v="2020"/>
    <x v="0"/>
    <m/>
    <s v="Onshore"/>
    <n v="4.3464526315789476"/>
    <n v="4.3464526315789476"/>
    <n v="0"/>
    <n v="0"/>
    <n v="0"/>
    <m/>
    <n v="0"/>
    <n v="0"/>
    <n v="0"/>
    <s v="rTPA"/>
    <x v="0"/>
    <x v="0"/>
    <x v="0"/>
  </r>
  <r>
    <x v="11"/>
    <s v="IT515"/>
    <s v="IT"/>
    <n v="5"/>
    <n v="15"/>
    <s v="STOGIT"/>
    <s v="Ripalta"/>
    <x v="1"/>
    <s v="expansion"/>
    <n v="2020"/>
    <x v="0"/>
    <m/>
    <s v="Onshore"/>
    <n v="0"/>
    <n v="0"/>
    <n v="0"/>
    <n v="0"/>
    <n v="0"/>
    <m/>
    <n v="20.688731578947365"/>
    <n v="20.688731578947365"/>
    <n v="0"/>
    <s v="rTPA"/>
    <x v="0"/>
    <x v="0"/>
    <x v="0"/>
  </r>
  <r>
    <x v="11"/>
    <s v="IT516"/>
    <s v="IT"/>
    <n v="5"/>
    <n v="16"/>
    <s v="STOGIT"/>
    <s v="Ripalta"/>
    <x v="2"/>
    <s v="expansion"/>
    <n v="2026"/>
    <x v="0"/>
    <m/>
    <s v="Onshore"/>
    <n v="3.7241631578947367"/>
    <n v="3.7241631578947367"/>
    <n v="0"/>
    <n v="0"/>
    <n v="0"/>
    <m/>
    <n v="0"/>
    <n v="0"/>
    <n v="0"/>
    <s v="rTPA"/>
    <x v="0"/>
    <x v="0"/>
    <x v="0"/>
  </r>
  <r>
    <x v="11"/>
    <s v="IT517"/>
    <s v="IT"/>
    <n v="5"/>
    <n v="17"/>
    <s v="STOGIT"/>
    <s v="Sabbioncello"/>
    <x v="1"/>
    <s v="new facility"/>
    <n v="2023"/>
    <x v="0"/>
    <m/>
    <s v="Onshore"/>
    <n v="0"/>
    <n v="0"/>
    <n v="0"/>
    <n v="62.0661947368421"/>
    <n v="62.0661947368421"/>
    <m/>
    <n v="0"/>
    <n v="0"/>
    <n v="0"/>
    <s v="rTPA"/>
    <x v="0"/>
    <x v="0"/>
    <x v="0"/>
  </r>
  <r>
    <x v="11"/>
    <s v="IT518"/>
    <s v="IT"/>
    <n v="5"/>
    <n v="18"/>
    <s v="STOGIT"/>
    <s v="Sergnano"/>
    <x v="1"/>
    <s v="expansion"/>
    <n v="2020"/>
    <x v="0"/>
    <m/>
    <s v="Onshore"/>
    <n v="1.6562473684210526"/>
    <n v="1.6562473684210526"/>
    <n v="0"/>
    <n v="0"/>
    <n v="0"/>
    <m/>
    <n v="0"/>
    <n v="0"/>
    <n v="0"/>
    <s v="rTPA"/>
    <x v="0"/>
    <x v="0"/>
    <x v="0"/>
  </r>
  <r>
    <x v="11"/>
    <s v="IT519"/>
    <s v="IT"/>
    <n v="5"/>
    <n v="19"/>
    <s v="STOGIT"/>
    <s v="Settala"/>
    <x v="2"/>
    <s v="expansion"/>
    <n v="2026"/>
    <x v="0"/>
    <m/>
    <s v="Onshore"/>
    <n v="3.6188526315789469"/>
    <n v="3.6188526315789469"/>
    <n v="0"/>
    <n v="0"/>
    <n v="0"/>
    <m/>
    <n v="0"/>
    <n v="0"/>
    <n v="0"/>
    <s v="rTPA"/>
    <x v="0"/>
    <x v="0"/>
    <x v="0"/>
  </r>
  <r>
    <x v="11"/>
    <s v="IT51"/>
    <s v="IT"/>
    <n v="5"/>
    <n v="1"/>
    <s v="STOGIT"/>
    <s v="Bordolano"/>
    <x v="0"/>
    <s v="existing"/>
    <n v="2016"/>
    <x v="0"/>
    <m/>
    <s v="Onshore"/>
    <n v="0"/>
    <m/>
    <m/>
    <n v="0"/>
    <m/>
    <m/>
    <n v="0"/>
    <m/>
    <m/>
    <s v="rTPA"/>
    <x v="0"/>
    <x v="1"/>
    <x v="0"/>
  </r>
  <r>
    <x v="11"/>
    <s v="IT52"/>
    <s v="IT"/>
    <n v="5"/>
    <n v="2"/>
    <s v="STOGIT"/>
    <s v="Brugherio"/>
    <x v="0"/>
    <s v="existing"/>
    <n v="1966"/>
    <x v="0"/>
    <m/>
    <s v="Onshore"/>
    <n v="0"/>
    <m/>
    <m/>
    <n v="0"/>
    <m/>
    <m/>
    <n v="0"/>
    <m/>
    <m/>
    <s v="rTPA"/>
    <x v="0"/>
    <x v="1"/>
    <x v="0"/>
  </r>
  <r>
    <x v="11"/>
    <s v="IT53"/>
    <s v="IT"/>
    <n v="5"/>
    <n v="3"/>
    <s v="STOGIT"/>
    <s v="Cortemaggiore"/>
    <x v="0"/>
    <s v="existing"/>
    <n v="1964"/>
    <x v="0"/>
    <m/>
    <s v="Onshore"/>
    <n v="0"/>
    <m/>
    <m/>
    <n v="0"/>
    <m/>
    <m/>
    <n v="0"/>
    <m/>
    <m/>
    <s v="rTPA"/>
    <x v="0"/>
    <x v="1"/>
    <x v="0"/>
  </r>
  <r>
    <x v="11"/>
    <s v="IT54"/>
    <s v="IT"/>
    <n v="5"/>
    <n v="4"/>
    <s v="STOGIT"/>
    <s v="Fiume Treste"/>
    <x v="0"/>
    <s v="existing"/>
    <n v="1982"/>
    <x v="0"/>
    <m/>
    <s v="Onshore"/>
    <n v="0"/>
    <m/>
    <m/>
    <n v="0"/>
    <m/>
    <m/>
    <n v="0"/>
    <m/>
    <m/>
    <s v="rTPA"/>
    <x v="0"/>
    <x v="1"/>
    <x v="0"/>
  </r>
  <r>
    <x v="11"/>
    <s v="IT55"/>
    <s v="IT"/>
    <n v="5"/>
    <n v="5"/>
    <s v="STOGIT"/>
    <s v="Minerbio"/>
    <x v="0"/>
    <s v="existing"/>
    <n v="1975"/>
    <x v="0"/>
    <m/>
    <s v="Onshore"/>
    <n v="0"/>
    <m/>
    <m/>
    <n v="0"/>
    <m/>
    <m/>
    <n v="0"/>
    <m/>
    <m/>
    <s v="rTPA"/>
    <x v="0"/>
    <x v="1"/>
    <x v="0"/>
  </r>
  <r>
    <x v="11"/>
    <s v="IT56"/>
    <s v="IT"/>
    <n v="5"/>
    <n v="6"/>
    <s v="STOGIT"/>
    <s v="Ripalta"/>
    <x v="0"/>
    <s v="existing"/>
    <n v="1967"/>
    <x v="0"/>
    <m/>
    <s v="Onshore"/>
    <n v="0"/>
    <m/>
    <m/>
    <n v="0"/>
    <m/>
    <m/>
    <n v="0"/>
    <m/>
    <m/>
    <s v="rTPA"/>
    <x v="0"/>
    <x v="1"/>
    <x v="0"/>
  </r>
  <r>
    <x v="11"/>
    <s v="IT57"/>
    <s v="IT"/>
    <n v="5"/>
    <n v="7"/>
    <s v="STOGIT"/>
    <s v="Sabbioncello"/>
    <x v="0"/>
    <s v="existing"/>
    <n v="1985"/>
    <x v="0"/>
    <m/>
    <s v="Onshore"/>
    <n v="0"/>
    <m/>
    <m/>
    <n v="0"/>
    <m/>
    <m/>
    <n v="0"/>
    <m/>
    <m/>
    <s v="rTPA"/>
    <x v="0"/>
    <x v="1"/>
    <x v="0"/>
  </r>
  <r>
    <x v="11"/>
    <s v="IT58"/>
    <s v="IT"/>
    <n v="5"/>
    <n v="8"/>
    <s v="STOGIT"/>
    <s v="Sergnano"/>
    <x v="0"/>
    <s v="existing"/>
    <n v="1965"/>
    <x v="0"/>
    <m/>
    <s v="Onshore"/>
    <n v="0"/>
    <m/>
    <m/>
    <n v="0"/>
    <m/>
    <m/>
    <n v="0"/>
    <m/>
    <m/>
    <s v="rTPA"/>
    <x v="0"/>
    <x v="1"/>
    <x v="0"/>
  </r>
  <r>
    <x v="11"/>
    <s v="IT59"/>
    <s v="IT"/>
    <n v="5"/>
    <n v="9"/>
    <s v="STOGIT"/>
    <s v="Settala"/>
    <x v="0"/>
    <s v="existing"/>
    <n v="1986"/>
    <x v="0"/>
    <m/>
    <s v="Onshore"/>
    <n v="0"/>
    <m/>
    <m/>
    <n v="0"/>
    <m/>
    <m/>
    <n v="0"/>
    <m/>
    <m/>
    <s v="rTPA"/>
    <x v="0"/>
    <x v="1"/>
    <x v="0"/>
  </r>
  <r>
    <x v="11"/>
    <s v=""/>
    <m/>
    <m/>
    <m/>
    <s v="STOGIT"/>
    <s v="VGS STOGIT"/>
    <x v="0"/>
    <s v="existing"/>
    <m/>
    <x v="0"/>
    <m/>
    <s v="Onshore"/>
    <n v="183.68"/>
    <m/>
    <m/>
    <n v="2783.07"/>
    <n v="2783.07"/>
    <m/>
    <n v="1582.53"/>
    <n v="1582.53"/>
    <m/>
    <s v="rTPA"/>
    <x v="1"/>
    <x v="0"/>
    <x v="0"/>
  </r>
  <r>
    <x v="12"/>
    <s v="LV11"/>
    <s v="LV"/>
    <n v="1"/>
    <n v="1"/>
    <s v="Conexus Baltic Grid"/>
    <s v="Inčukalns"/>
    <x v="0"/>
    <s v="existing"/>
    <n v="1968"/>
    <x v="2"/>
    <m/>
    <s v="Onshore"/>
    <n v="24.15"/>
    <n v="24.15"/>
    <n v="0"/>
    <n v="315"/>
    <n v="315"/>
    <m/>
    <n v="178.5"/>
    <n v="178.5"/>
    <n v="0"/>
    <s v="rTPA"/>
    <x v="0"/>
    <x v="0"/>
    <x v="0"/>
  </r>
  <r>
    <x v="13"/>
    <s v="NL11"/>
    <s v="NL"/>
    <n v="1"/>
    <n v="1"/>
    <s v="EnergyStock BV"/>
    <s v="EnergyStock"/>
    <x v="0"/>
    <s v="existing"/>
    <n v="2011"/>
    <x v="1"/>
    <m/>
    <s v="Onshore"/>
    <n v="3.0078"/>
    <n v="3.0078"/>
    <m/>
    <n v="422.04"/>
    <n v="422.04"/>
    <m/>
    <n v="257.91300000000001"/>
    <n v="257.91300000000001"/>
    <m/>
    <s v="nTPA"/>
    <x v="0"/>
    <x v="0"/>
    <x v="0"/>
  </r>
  <r>
    <x v="13"/>
    <s v="NL12"/>
    <s v="NL"/>
    <n v="1"/>
    <n v="2"/>
    <s v="EnergyStock BV"/>
    <s v="EnergyStock"/>
    <x v="2"/>
    <s v="planned"/>
    <m/>
    <x v="1"/>
    <m/>
    <s v="Onshore"/>
    <n v="0.85"/>
    <n v="0.85"/>
    <m/>
    <n v="0"/>
    <m/>
    <m/>
    <n v="0"/>
    <m/>
    <m/>
    <s v="nTPA"/>
    <x v="0"/>
    <x v="0"/>
    <x v="0"/>
  </r>
  <r>
    <x v="13"/>
    <s v="NL21"/>
    <s v="NL"/>
    <n v="2"/>
    <n v="1"/>
    <s v="NAM"/>
    <s v="Grijpskerk"/>
    <x v="0"/>
    <s v="existing"/>
    <n v="1997"/>
    <x v="0"/>
    <s v="Gas Field (not depleted)"/>
    <s v="Onshore"/>
    <n v="27.666699999999999"/>
    <n v="0"/>
    <n v="27.666699999999999"/>
    <n v="719.33299999999997"/>
    <n v="0"/>
    <n v="719.33299999999997"/>
    <n v="172.916"/>
    <n v="0"/>
    <n v="172.916"/>
    <s v="No TPA"/>
    <x v="0"/>
    <x v="0"/>
    <x v="0"/>
  </r>
  <r>
    <x v="13"/>
    <s v="NL22"/>
    <s v="NL"/>
    <n v="2"/>
    <n v="2"/>
    <s v="NAM"/>
    <s v="Norg (Langelo)"/>
    <x v="0"/>
    <s v="existing"/>
    <n v="1997"/>
    <x v="0"/>
    <s v="Gas Field (not depleted)"/>
    <s v="Onshore"/>
    <n v="48.707900000000002"/>
    <n v="0"/>
    <n v="48.707900000000002"/>
    <n v="742.48"/>
    <n v="0"/>
    <n v="742.48"/>
    <n v="448.75"/>
    <n v="0"/>
    <n v="448.75"/>
    <s v="No TPA"/>
    <x v="0"/>
    <x v="0"/>
    <x v="0"/>
  </r>
  <r>
    <x v="13"/>
    <s v="NL31"/>
    <s v="NL"/>
    <n v="3"/>
    <n v="1"/>
    <s v="TAQA Gas Storage"/>
    <s v="Bergermeer"/>
    <x v="0"/>
    <s v="existing"/>
    <n v="2015"/>
    <x v="0"/>
    <s v="Gas"/>
    <s v="Onshore"/>
    <n v="45.651499999999999"/>
    <n v="45.651499999999999"/>
    <m/>
    <n v="554.20000000000005"/>
    <n v="554.20000000000005"/>
    <m/>
    <n v="387.36"/>
    <n v="387.36"/>
    <m/>
    <s v="nTPA"/>
    <x v="0"/>
    <x v="0"/>
    <x v="0"/>
  </r>
  <r>
    <x v="13"/>
    <s v="NL32"/>
    <s v="NL"/>
    <n v="3"/>
    <n v="2"/>
    <s v="TAQA Piek Gas"/>
    <s v="Alkmaar"/>
    <x v="0"/>
    <s v="existing"/>
    <n v="1997"/>
    <x v="0"/>
    <s v="Gas"/>
    <s v="Onshore"/>
    <n v="4.9000000000000004"/>
    <n v="0"/>
    <n v="4.9000000000000004"/>
    <n v="352.8"/>
    <n v="0"/>
    <n v="352.8"/>
    <n v="36"/>
    <n v="0"/>
    <n v="36"/>
    <s v="No TPA"/>
    <x v="0"/>
    <x v="0"/>
    <x v="0"/>
  </r>
  <r>
    <x v="14"/>
    <s v="PL11"/>
    <s v="PL"/>
    <n v="1"/>
    <n v="1"/>
    <s v="Gas Storage Poland"/>
    <s v="Wierzchowice"/>
    <x v="0"/>
    <s v="existing"/>
    <n v="1995"/>
    <x v="0"/>
    <m/>
    <s v="Onshore"/>
    <n v="13.2"/>
    <n v="12.979999999999999"/>
    <n v="0.22"/>
    <n v="105.60000000000001"/>
    <n v="99.602000000000004"/>
    <n v="5.9980000000000002"/>
    <n v="67.201999999999998"/>
    <n v="65"/>
    <n v="2.202"/>
    <s v="rTPA"/>
    <x v="0"/>
    <x v="0"/>
    <x v="0"/>
  </r>
  <r>
    <x v="14"/>
    <s v="PL12"/>
    <s v="PL"/>
    <n v="1"/>
    <n v="2"/>
    <s v="Gas Storage Poland"/>
    <s v="Wierzchowice"/>
    <x v="2"/>
    <s v="expansion"/>
    <n v="2020"/>
    <x v="0"/>
    <m/>
    <s v="Onshore"/>
    <n v="0"/>
    <n v="0"/>
    <m/>
    <n v="52.8"/>
    <n v="52.8"/>
    <m/>
    <n v="39.6"/>
    <n v="39.6"/>
    <m/>
    <s v="rTPA"/>
    <x v="0"/>
    <x v="0"/>
    <x v="0"/>
  </r>
  <r>
    <x v="14"/>
    <s v="PL13"/>
    <s v="PL"/>
    <n v="1"/>
    <n v="3"/>
    <s v="Gas Storage Poland"/>
    <s v="Kosakowo"/>
    <x v="0"/>
    <s v="existing"/>
    <n v="2014"/>
    <x v="1"/>
    <m/>
    <s v="Onshore"/>
    <n v="1.6223000000000001"/>
    <n v="1.6223000000000001"/>
    <m/>
    <n v="107.03999999999999"/>
    <n v="107.03999999999999"/>
    <m/>
    <n v="26.759999999999998"/>
    <n v="26.759999999999998"/>
    <m/>
    <s v="rTPA"/>
    <x v="0"/>
    <x v="0"/>
    <x v="0"/>
  </r>
  <r>
    <x v="14"/>
    <s v="PL14"/>
    <s v="PL"/>
    <n v="1"/>
    <n v="4"/>
    <s v="Gas Storage Poland"/>
    <s v="Mogilno"/>
    <x v="0"/>
    <s v="existing"/>
    <n v="1997"/>
    <x v="1"/>
    <m/>
    <s v="Onshore"/>
    <n v="6.5709"/>
    <n v="6.2366999999999999"/>
    <n v="0.3342"/>
    <n v="200.51996755377323"/>
    <n v="185.62899999999999"/>
    <n v="14.890967553773244"/>
    <n v="106.944"/>
    <n v="100.0154"/>
    <n v="6.9286000000000003"/>
    <s v="rTPA"/>
    <x v="0"/>
    <x v="0"/>
    <x v="0"/>
  </r>
  <r>
    <x v="14"/>
    <s v=""/>
    <m/>
    <m/>
    <m/>
    <s v="Gas Storage Poland"/>
    <s v="GSF Kawerna"/>
    <x v="0"/>
    <s v="existing"/>
    <m/>
    <x v="1"/>
    <m/>
    <s v="Onshore"/>
    <n v="8.1931999999999992"/>
    <n v="7.859"/>
    <n v="0.3342"/>
    <n v="307.55996755377322"/>
    <n v="292.66899999999998"/>
    <n v="14.890967553773244"/>
    <n v="133.70399999999998"/>
    <n v="126.77539999999999"/>
    <n v="6.9286000000000003"/>
    <s v="rTPA"/>
    <x v="1"/>
    <x v="1"/>
    <x v="0"/>
  </r>
  <r>
    <x v="14"/>
    <s v="PL15"/>
    <s v="PL"/>
    <n v="1"/>
    <n v="5"/>
    <s v="Gas Storage Poland"/>
    <s v="Wierzchowice"/>
    <x v="1"/>
    <s v="expansion"/>
    <n v="2022"/>
    <x v="0"/>
    <m/>
    <s v="Onshore"/>
    <n v="1.6725000000000001"/>
    <n v="1.6725000000000001"/>
    <m/>
    <n v="0"/>
    <n v="0"/>
    <m/>
    <n v="0"/>
    <n v="0"/>
    <m/>
    <s v="rTPA"/>
    <x v="0"/>
    <x v="0"/>
    <x v="0"/>
  </r>
  <r>
    <x v="14"/>
    <s v="PL16"/>
    <s v="PL"/>
    <n v="1"/>
    <n v="6"/>
    <s v="Gas Storage Poland"/>
    <s v="Swarzow"/>
    <x v="0"/>
    <s v="existing"/>
    <n v="1979"/>
    <x v="0"/>
    <m/>
    <s v="Onshore"/>
    <n v="1.0079999999999998"/>
    <n v="1.0079999999999998"/>
    <m/>
    <n v="10.4"/>
    <n v="10.4"/>
    <m/>
    <n v="11.2"/>
    <n v="11.2"/>
    <m/>
    <s v="rTPA"/>
    <x v="0"/>
    <x v="0"/>
    <x v="0"/>
  </r>
  <r>
    <x v="14"/>
    <s v="PL17"/>
    <s v="PL"/>
    <n v="1"/>
    <n v="7"/>
    <s v="Gas Storage Poland"/>
    <s v="Brzeznica"/>
    <x v="0"/>
    <s v="existing"/>
    <n v="1979"/>
    <x v="0"/>
    <m/>
    <s v="Onshore"/>
    <n v="1.125"/>
    <n v="1.125"/>
    <m/>
    <n v="16.100000000000001"/>
    <n v="16.100000000000001"/>
    <m/>
    <n v="16.2"/>
    <n v="16.2"/>
    <m/>
    <s v="rTPA"/>
    <x v="0"/>
    <x v="0"/>
    <x v="0"/>
  </r>
  <r>
    <x v="14"/>
    <s v="PL18"/>
    <s v="PL"/>
    <n v="1"/>
    <n v="8"/>
    <s v="Gas Storage Poland"/>
    <s v="Strachocina"/>
    <x v="0"/>
    <s v="existing"/>
    <n v="1982"/>
    <x v="0"/>
    <m/>
    <s v="Onshore"/>
    <n v="4.05"/>
    <n v="4.05"/>
    <m/>
    <n v="37.9"/>
    <n v="37.9"/>
    <m/>
    <n v="29.700000000000003"/>
    <n v="29.700000000000003"/>
    <m/>
    <s v="rTPA"/>
    <x v="0"/>
    <x v="0"/>
    <x v="0"/>
  </r>
  <r>
    <x v="14"/>
    <s v="PL19"/>
    <s v="PL"/>
    <n v="1"/>
    <n v="9"/>
    <s v="Gas Storage Poland"/>
    <s v="Husow"/>
    <x v="0"/>
    <s v="existing"/>
    <n v="1987"/>
    <x v="0"/>
    <m/>
    <s v="Onshore"/>
    <n v="5.6249998874999996"/>
    <n v="5.6249998874999996"/>
    <m/>
    <n v="64.599999999999994"/>
    <n v="64.599999999999994"/>
    <m/>
    <n v="46.7"/>
    <n v="46.7"/>
    <m/>
    <s v="rTPA"/>
    <x v="0"/>
    <x v="0"/>
    <x v="0"/>
  </r>
  <r>
    <x v="14"/>
    <s v="PL1"/>
    <s v="PL"/>
    <n v="1"/>
    <m/>
    <s v="Gas Storage Poland"/>
    <s v="GSF Sanok"/>
    <x v="0"/>
    <s v="existing"/>
    <m/>
    <x v="1"/>
    <m/>
    <s v="Onshore"/>
    <n v="11.807999887499999"/>
    <n v="11.807999887499999"/>
    <m/>
    <n v="129.80000000000001"/>
    <n v="129.80000000000001"/>
    <m/>
    <n v="103.8"/>
    <n v="103.8"/>
    <m/>
    <s v="rTPA"/>
    <x v="1"/>
    <x v="1"/>
    <x v="0"/>
  </r>
  <r>
    <x v="14"/>
    <s v="PL21"/>
    <s v="PL"/>
    <n v="2"/>
    <n v="1"/>
    <s v="GAZ-SYSTEM"/>
    <s v="Damasławek"/>
    <x v="2"/>
    <s v="new facility"/>
    <n v="2026"/>
    <x v="1"/>
    <m/>
    <s v="Onshore"/>
    <n v="9"/>
    <n v="9"/>
    <m/>
    <n v="200"/>
    <n v="200"/>
    <m/>
    <n v="100"/>
    <n v="100"/>
    <m/>
    <s v="rTPA"/>
    <x v="0"/>
    <x v="0"/>
    <x v="0"/>
  </r>
  <r>
    <x v="14"/>
    <s v="PL31"/>
    <s v="PL"/>
    <n v="3"/>
    <n v="1"/>
    <s v="PGNiG"/>
    <s v="Bonikowo"/>
    <x v="0"/>
    <s v="existing"/>
    <n v="2010"/>
    <x v="0"/>
    <s v="UGS for nitrogen rich ga"/>
    <s v="Onshore"/>
    <n v="2.2999999999999998"/>
    <n v="0"/>
    <n v="2.2999999999999998"/>
    <n v="27.599999999999998"/>
    <n v="0"/>
    <n v="27.599999999999998"/>
    <n v="19.32"/>
    <n v="0"/>
    <n v="19.32"/>
    <s v="No TPA"/>
    <x v="0"/>
    <x v="0"/>
    <x v="0"/>
  </r>
  <r>
    <x v="14"/>
    <s v="PL32"/>
    <s v="PL"/>
    <n v="3"/>
    <n v="2"/>
    <s v="PGNiG"/>
    <s v="Daszewo"/>
    <x v="0"/>
    <s v="existing"/>
    <n v="2009"/>
    <x v="0"/>
    <s v="UGS for nitrogen rich ga"/>
    <s v="Onshore"/>
    <n v="0.34499999999999997"/>
    <n v="0"/>
    <n v="0.34499999999999997"/>
    <n v="4.37"/>
    <n v="0"/>
    <n v="4.37"/>
    <n v="2.76"/>
    <n v="0"/>
    <n v="2.76"/>
    <s v="No TPA"/>
    <x v="0"/>
    <x v="0"/>
    <x v="0"/>
  </r>
  <r>
    <x v="15"/>
    <s v="PT0101"/>
    <s v="PT"/>
    <n v="1"/>
    <n v="1"/>
    <s v="REN Armazenagen"/>
    <s v="Carriço"/>
    <x v="0"/>
    <s v="existing"/>
    <n v="2003"/>
    <x v="1"/>
    <m/>
    <s v="Onshore"/>
    <n v="3.57"/>
    <n v="3.57"/>
    <m/>
    <n v="85.68"/>
    <n v="85.68"/>
    <m/>
    <n v="24"/>
    <n v="24"/>
    <m/>
    <s v="rTPA"/>
    <x v="0"/>
    <x v="0"/>
    <x v="0"/>
  </r>
  <r>
    <x v="15"/>
    <s v="PT0102"/>
    <s v="PT"/>
    <n v="1"/>
    <n v="2"/>
    <s v="REN Armazenagen"/>
    <s v="Carriço"/>
    <x v="1"/>
    <s v="expansion"/>
    <n v="2017"/>
    <x v="1"/>
    <m/>
    <s v="Onshore"/>
    <n v="0"/>
    <n v="0"/>
    <m/>
    <n v="0"/>
    <n v="0"/>
    <m/>
    <n v="8.24"/>
    <n v="8.24"/>
    <m/>
    <s v="rTPA"/>
    <x v="0"/>
    <x v="0"/>
    <x v="0"/>
  </r>
  <r>
    <x v="16"/>
    <s v="RO0101"/>
    <s v="RO"/>
    <n v="1"/>
    <n v="1"/>
    <s v="Depogaz Ploiești (ex Romgaz)"/>
    <s v="Balanceanca"/>
    <x v="0"/>
    <s v="existing"/>
    <n v="1992"/>
    <x v="0"/>
    <s v="Gas"/>
    <s v="Onshore"/>
    <n v="0.54520000000000002"/>
    <n v="0.54520000000000002"/>
    <m/>
    <n v="13.176"/>
    <n v="13.176"/>
    <m/>
    <n v="10.98"/>
    <n v="10.98"/>
    <m/>
    <s v="rTPA"/>
    <x v="0"/>
    <x v="0"/>
    <x v="0"/>
  </r>
  <r>
    <x v="16"/>
    <s v="RO0102"/>
    <s v="RO"/>
    <n v="1"/>
    <n v="2"/>
    <s v="Depogaz Ploiești (ex Romgaz)"/>
    <s v="Bilciuresti"/>
    <x v="0"/>
    <s v="existing"/>
    <n v="1983"/>
    <x v="0"/>
    <s v="Gas"/>
    <s v="Onshore"/>
    <n v="14.3263"/>
    <n v="14.3263"/>
    <m/>
    <n v="152.78200000000001"/>
    <n v="152.78200000000001"/>
    <m/>
    <n v="109.13"/>
    <n v="109.13"/>
    <m/>
    <s v="rTPA"/>
    <x v="0"/>
    <x v="0"/>
    <x v="0"/>
  </r>
  <r>
    <x v="16"/>
    <s v="RO0103"/>
    <s v="RO"/>
    <n v="1"/>
    <n v="3"/>
    <s v="Depogaz Ploiești (ex Romgaz)"/>
    <s v="Cetatea de Balta"/>
    <x v="0"/>
    <s v="existing"/>
    <m/>
    <x v="0"/>
    <s v="Gas"/>
    <s v="Onshore"/>
    <n v="0.315"/>
    <n v="0.315"/>
    <m/>
    <n v="1.05"/>
    <n v="1.05"/>
    <m/>
    <n v="0"/>
    <n v="0"/>
    <m/>
    <s v="rTPA"/>
    <x v="0"/>
    <x v="0"/>
    <x v="0"/>
  </r>
  <r>
    <x v="16"/>
    <s v="RO0104"/>
    <s v="RO"/>
    <n v="1"/>
    <n v="4"/>
    <s v="Depogaz Ploiești (ex Romgaz)"/>
    <s v="Ghercesti"/>
    <x v="0"/>
    <s v="existing"/>
    <n v="2004"/>
    <x v="0"/>
    <s v="Gas"/>
    <s v="Onshore"/>
    <n v="1.6343000000000001"/>
    <n v="1.6343000000000001"/>
    <m/>
    <n v="21.4"/>
    <n v="21.4"/>
    <m/>
    <n v="21.4"/>
    <n v="21.4"/>
    <m/>
    <s v="rTPA"/>
    <x v="0"/>
    <x v="0"/>
    <x v="0"/>
  </r>
  <r>
    <x v="16"/>
    <s v="RO0105"/>
    <s v="RO"/>
    <n v="1"/>
    <n v="5"/>
    <s v="Depogaz Ploiești (ex Romgaz)"/>
    <s v="Moldova (Falticeni)"/>
    <x v="2"/>
    <s v="new facility"/>
    <n v="2023"/>
    <x v="0"/>
    <m/>
    <s v="Onshore"/>
    <n v="2.16"/>
    <n v="2.16"/>
    <m/>
    <n v="21.6"/>
    <n v="21.6"/>
    <m/>
    <n v="15.12"/>
    <n v="15.12"/>
    <m/>
    <s v="rTPA"/>
    <x v="0"/>
    <x v="0"/>
    <x v="0"/>
  </r>
  <r>
    <x v="16"/>
    <s v="RO0106"/>
    <s v="RO"/>
    <n v="1"/>
    <n v="6"/>
    <s v="Depogaz Ploiești (ex Romgaz)"/>
    <s v="Sarmasel"/>
    <x v="0"/>
    <s v="existing"/>
    <n v="1995"/>
    <x v="0"/>
    <s v="Gas"/>
    <s v="Onshore"/>
    <n v="9.5986999999999991"/>
    <n v="9.5986999999999991"/>
    <m/>
    <n v="79.034999999999997"/>
    <n v="79.034999999999997"/>
    <m/>
    <n v="68.497"/>
    <n v="68.497"/>
    <m/>
    <s v="rTPA"/>
    <x v="0"/>
    <x v="0"/>
    <x v="0"/>
  </r>
  <r>
    <x v="16"/>
    <s v="RO0108"/>
    <s v="RO"/>
    <n v="1"/>
    <n v="7"/>
    <s v="Depogaz Ploiești (ex Romgaz)"/>
    <s v="Sarmasel"/>
    <x v="2"/>
    <s v="expansion"/>
    <n v="2024"/>
    <x v="0"/>
    <s v="Gas"/>
    <s v="Onshore"/>
    <n v="7.1413000000000029"/>
    <n v="7.1413000000000029"/>
    <m/>
    <n v="28.965000000000003"/>
    <n v="28.965000000000003"/>
    <m/>
    <n v="39.503"/>
    <n v="39.503"/>
    <m/>
    <s v="rTPA"/>
    <x v="0"/>
    <x v="0"/>
    <x v="0"/>
  </r>
  <r>
    <x v="16"/>
    <s v="RO0109"/>
    <s v="RO"/>
    <n v="1"/>
    <n v="8"/>
    <s v="Depogaz Ploiești (ex Romgaz)"/>
    <s v="Urziceni"/>
    <x v="0"/>
    <s v="existing"/>
    <n v="1979"/>
    <x v="0"/>
    <s v="Gas"/>
    <s v="Onshore"/>
    <n v="4.0167999999999999"/>
    <n v="4.0167999999999999"/>
    <m/>
    <n v="50.156999999999996"/>
    <n v="50.156999999999996"/>
    <m/>
    <n v="33.438000000000002"/>
    <n v="33.438000000000002"/>
    <m/>
    <s v="rTPA"/>
    <x v="0"/>
    <x v="0"/>
    <x v="0"/>
  </r>
  <r>
    <x v="16"/>
    <s v="RO0201"/>
    <s v="RO"/>
    <n v="2"/>
    <n v="1"/>
    <s v="Depomures"/>
    <s v="Târgu Mureş"/>
    <x v="0"/>
    <s v="existing"/>
    <n v="2002"/>
    <x v="0"/>
    <s v="Gas"/>
    <s v="Onshore"/>
    <n v="3.15455"/>
    <n v="3.15455"/>
    <m/>
    <n v="30"/>
    <n v="30"/>
    <m/>
    <n v="19"/>
    <n v="19"/>
    <m/>
    <s v="rTPA"/>
    <x v="0"/>
    <x v="0"/>
    <x v="0"/>
  </r>
  <r>
    <x v="16"/>
    <s v="RO0202"/>
    <s v="RO"/>
    <n v="2"/>
    <n v="2"/>
    <s v="Depomures"/>
    <s v="Târgu Mureş"/>
    <x v="2"/>
    <s v="expansion"/>
    <n v="2019"/>
    <x v="0"/>
    <s v="Gas"/>
    <s v="Onshore"/>
    <n v="1.08"/>
    <n v="1.08"/>
    <m/>
    <n v="7.8000000000000043"/>
    <n v="7.8000000000000043"/>
    <m/>
    <n v="18.800000000000004"/>
    <n v="18.800000000000004"/>
    <m/>
    <s v="rTPA"/>
    <x v="0"/>
    <x v="0"/>
    <x v="0"/>
  </r>
  <r>
    <x v="16"/>
    <s v="RO0203"/>
    <s v="RO"/>
    <n v="2"/>
    <n v="3"/>
    <s v="Depomures"/>
    <s v="Târgu Mureş"/>
    <x v="2"/>
    <s v="expansion"/>
    <n v="2022"/>
    <x v="0"/>
    <s v="Gas"/>
    <s v="Onshore"/>
    <n v="2.16"/>
    <n v="2.16"/>
    <m/>
    <n v="16.199999999999996"/>
    <n v="16.199999999999996"/>
    <m/>
    <n v="16.199999999999996"/>
    <n v="16.199999999999996"/>
    <m/>
    <s v="rTPA"/>
    <x v="0"/>
    <x v="0"/>
    <x v="0"/>
  </r>
  <r>
    <x v="17"/>
    <s v="RU0101"/>
    <s v="RU"/>
    <n v="1"/>
    <n v="1"/>
    <s v="Gazprom"/>
    <s v="Gatchinskoye"/>
    <x v="0"/>
    <s v="existing"/>
    <n v="1963"/>
    <x v="2"/>
    <m/>
    <s v="Onshore"/>
    <n v="2.206"/>
    <n v="2.206"/>
    <m/>
    <n v="22.06"/>
    <n v="22.06"/>
    <m/>
    <n v="19.853999999999999"/>
    <n v="19.853999999999999"/>
    <m/>
    <m/>
    <x v="1"/>
    <x v="1"/>
    <x v="1"/>
  </r>
  <r>
    <x v="18"/>
    <s v="UA0113"/>
    <s v="UA"/>
    <n v="1"/>
    <n v="13"/>
    <s v="PJSC  Chornomornaftogaz  (Crimea)"/>
    <s v="Hlibovske"/>
    <x v="0"/>
    <s v="existing"/>
    <n v="1987"/>
    <x v="0"/>
    <s v="Gas"/>
    <s v="Onshore"/>
    <n v="11"/>
    <n v="11"/>
    <m/>
    <n v="49.5"/>
    <n v="49.5"/>
    <m/>
    <n v="44"/>
    <n v="44"/>
    <m/>
    <s v="rTPA"/>
    <x v="1"/>
    <x v="1"/>
    <x v="1"/>
  </r>
  <r>
    <x v="17"/>
    <s v="RU0102"/>
    <s v="RU"/>
    <n v="1"/>
    <n v="2"/>
    <s v="Gazprom"/>
    <s v="Kaliningradskoe"/>
    <x v="0"/>
    <s v="existing"/>
    <n v="2013"/>
    <x v="1"/>
    <m/>
    <s v="Onshore"/>
    <n v="2.8677999999999999"/>
    <n v="2.8677999999999999"/>
    <m/>
    <n v="132.35999999999999"/>
    <n v="132.35999999999999"/>
    <m/>
    <n v="119.124"/>
    <n v="119.124"/>
    <m/>
    <m/>
    <x v="1"/>
    <x v="1"/>
    <x v="1"/>
  </r>
  <r>
    <x v="17"/>
    <s v="RU0103"/>
    <s v="RU"/>
    <n v="1"/>
    <n v="3"/>
    <s v="Gazprom"/>
    <s v="Nevskoye"/>
    <x v="0"/>
    <s v="existing"/>
    <n v="1975"/>
    <x v="2"/>
    <m/>
    <s v="Onshore"/>
    <n v="18.750999999999998"/>
    <n v="18.750999999999998"/>
    <m/>
    <n v="253.69"/>
    <n v="253.69"/>
    <m/>
    <n v="228.32099999999997"/>
    <n v="228.32099999999997"/>
    <m/>
    <m/>
    <x v="1"/>
    <x v="1"/>
    <x v="1"/>
  </r>
  <r>
    <x v="19"/>
    <s v="RS0101"/>
    <s v="RS"/>
    <n v="1"/>
    <n v="1"/>
    <s v="Srbijagas"/>
    <s v="Banatski Dvor"/>
    <x v="0"/>
    <s v="existing"/>
    <n v="2011"/>
    <x v="0"/>
    <s v="Gas"/>
    <s v="Onshore"/>
    <n v="4.5315000000000003"/>
    <n v="4.5315000000000003"/>
    <m/>
    <n v="50.35"/>
    <n v="50.35"/>
    <m/>
    <n v="35.245000000000005"/>
    <n v="35.245000000000005"/>
    <m/>
    <s v="rTPA"/>
    <x v="1"/>
    <x v="1"/>
    <x v="1"/>
  </r>
  <r>
    <x v="19"/>
    <s v="RS0102"/>
    <s v="RS"/>
    <n v="1"/>
    <n v="2"/>
    <s v="Srbijagas"/>
    <s v="Banatski Dvor"/>
    <x v="2"/>
    <s v="expansion"/>
    <n v="2017"/>
    <x v="0"/>
    <s v="Gas"/>
    <s v="Onshore"/>
    <n v="3.0209999999999999"/>
    <n v="3.0209999999999999"/>
    <m/>
    <n v="0"/>
    <m/>
    <m/>
    <n v="0"/>
    <m/>
    <m/>
    <s v="rTPA"/>
    <x v="1"/>
    <x v="1"/>
    <x v="1"/>
  </r>
  <r>
    <x v="19"/>
    <s v="RS0103"/>
    <s v="RS"/>
    <n v="1"/>
    <n v="3"/>
    <s v="Srbijagas"/>
    <s v="Banatski Dvor"/>
    <x v="2"/>
    <s v="expansion"/>
    <m/>
    <x v="0"/>
    <s v="Gas"/>
    <s v="Onshore"/>
    <n v="2.5175000000000001"/>
    <n v="2.5175000000000001"/>
    <m/>
    <n v="0"/>
    <m/>
    <m/>
    <n v="0"/>
    <m/>
    <m/>
    <s v="rTPA"/>
    <x v="1"/>
    <x v="1"/>
    <x v="1"/>
  </r>
  <r>
    <x v="20"/>
    <s v="SK0101"/>
    <s v="SK"/>
    <n v="1"/>
    <n v="1"/>
    <s v="Nafta"/>
    <s v="Láb complex"/>
    <x v="0"/>
    <s v="existing"/>
    <n v="1977"/>
    <x v="0"/>
    <s v="Gas"/>
    <s v="Onshore"/>
    <n v="22.28"/>
    <n v="22.28"/>
    <m/>
    <n v="332.46"/>
    <n v="332.46"/>
    <m/>
    <n v="292.77"/>
    <n v="292.77"/>
    <m/>
    <s v="nTPA"/>
    <x v="0"/>
    <x v="0"/>
    <x v="0"/>
  </r>
  <r>
    <x v="20"/>
    <s v="SK0102"/>
    <s v="SK"/>
    <n v="1"/>
    <n v="2"/>
    <s v="Nafta"/>
    <s v="Gajary-Baden"/>
    <x v="0"/>
    <s v="existing"/>
    <n v="2011"/>
    <x v="0"/>
    <s v="Gas"/>
    <s v="Onshore"/>
    <n v="6.36"/>
    <n v="6.36"/>
    <m/>
    <n v="74.25"/>
    <n v="74.25"/>
    <m/>
    <n v="49.13"/>
    <n v="49.13"/>
    <m/>
    <s v="nTPA"/>
    <x v="0"/>
    <x v="0"/>
    <x v="0"/>
  </r>
  <r>
    <x v="20"/>
    <s v="SK0103"/>
    <s v="SK"/>
    <n v="1"/>
    <n v="3"/>
    <s v="Nafta"/>
    <s v="Velke Kapusany"/>
    <x v="2"/>
    <s v="new facility"/>
    <m/>
    <x v="0"/>
    <s v="Gas"/>
    <s v="Onshore"/>
    <n v="3.6057000000000001"/>
    <n v="3.6057000000000001"/>
    <m/>
    <n v="39.799999999999997"/>
    <n v="39.799999999999997"/>
    <m/>
    <n v="39.799999999999997"/>
    <n v="39.799999999999997"/>
    <m/>
    <s v="nTPA"/>
    <x v="0"/>
    <x v="0"/>
    <x v="0"/>
  </r>
  <r>
    <x v="20"/>
    <s v="SK0201"/>
    <s v="SK"/>
    <n v="2"/>
    <n v="1"/>
    <s v="Pozagas"/>
    <s v="Láb 4"/>
    <x v="0"/>
    <s v="existing"/>
    <n v="1997"/>
    <x v="0"/>
    <s v="Gas"/>
    <s v="Onshore"/>
    <n v="6.9476000000000004"/>
    <n v="6.9476000000000004"/>
    <m/>
    <n v="72.658000000000001"/>
    <n v="72.658000000000001"/>
    <m/>
    <n v="72.658000000000001"/>
    <n v="72.658000000000001"/>
    <m/>
    <s v="nTPA"/>
    <x v="0"/>
    <x v="0"/>
    <x v="0"/>
  </r>
  <r>
    <x v="21"/>
    <s v="ES0101"/>
    <s v="ES"/>
    <n v="1"/>
    <n v="1"/>
    <s v="Enagas"/>
    <s v="Gaviota"/>
    <x v="0"/>
    <s v="existing"/>
    <n v="1993"/>
    <x v="0"/>
    <m/>
    <s v="Offshore"/>
    <n v="18.34"/>
    <n v="18.34"/>
    <m/>
    <n v="66.3"/>
    <n v="66.3"/>
    <m/>
    <n v="52.3"/>
    <n v="52.3"/>
    <m/>
    <s v="rTPA"/>
    <x v="0"/>
    <x v="0"/>
    <x v="0"/>
  </r>
  <r>
    <x v="21"/>
    <s v="ES0102"/>
    <s v="ES"/>
    <n v="1"/>
    <n v="2"/>
    <s v="Enagas/Gas Natural Fenosa"/>
    <s v="Marismas"/>
    <x v="0"/>
    <s v="existing"/>
    <n v="2012"/>
    <x v="0"/>
    <m/>
    <s v="Onshore"/>
    <n v="1.615"/>
    <n v="1.615"/>
    <m/>
    <n v="4.2"/>
    <n v="4.2"/>
    <m/>
    <n v="4.2"/>
    <n v="4.2"/>
    <m/>
    <s v="rTPA"/>
    <x v="0"/>
    <x v="0"/>
    <x v="0"/>
  </r>
  <r>
    <x v="21"/>
    <s v="ES0103"/>
    <s v="ES"/>
    <n v="1"/>
    <n v="3"/>
    <s v="Enagas"/>
    <s v="Serrablo"/>
    <x v="0"/>
    <s v="existing"/>
    <n v="1991"/>
    <x v="0"/>
    <m/>
    <s v="Onshore"/>
    <n v="9.73"/>
    <n v="9.73"/>
    <m/>
    <n v="79.099999999999994"/>
    <n v="79.099999999999994"/>
    <m/>
    <n v="44.2"/>
    <n v="44.2"/>
    <m/>
    <s v="rTPA"/>
    <x v="0"/>
    <x v="0"/>
    <x v="0"/>
  </r>
  <r>
    <x v="21"/>
    <s v="ES0104"/>
    <s v="ES"/>
    <n v="1"/>
    <n v="4"/>
    <s v="Enagas"/>
    <s v="Yela"/>
    <x v="0"/>
    <s v="existing"/>
    <n v="2012"/>
    <x v="2"/>
    <m/>
    <s v="Onshore"/>
    <n v="2.29"/>
    <n v="2.29"/>
    <m/>
    <n v="64.900000000000006"/>
    <n v="64.900000000000006"/>
    <m/>
    <n v="25.6"/>
    <n v="25.6"/>
    <m/>
    <s v="rTPA"/>
    <x v="0"/>
    <x v="0"/>
    <x v="0"/>
  </r>
  <r>
    <x v="21"/>
    <s v="ES0100"/>
    <s v="ES"/>
    <n v="1"/>
    <m/>
    <s v="Enagas"/>
    <s v="VGS Enagas Basic UGS"/>
    <x v="0"/>
    <s v="existing"/>
    <m/>
    <x v="5"/>
    <m/>
    <s v="Onshore"/>
    <n v="31.975899999999999"/>
    <n v="31.975899999999999"/>
    <m/>
    <n v="214.50229999999999"/>
    <n v="214.50229999999999"/>
    <m/>
    <n v="126.29559999999999"/>
    <n v="126.29559999999999"/>
    <m/>
    <s v="rTPA"/>
    <x v="1"/>
    <x v="1"/>
    <x v="0"/>
  </r>
  <r>
    <x v="22"/>
    <s v="SE0101"/>
    <s v="SE"/>
    <n v="1"/>
    <n v="1"/>
    <s v="Swedegas"/>
    <s v="Skallen"/>
    <x v="0"/>
    <s v="existing"/>
    <n v="2004"/>
    <x v="6"/>
    <s v="Rock Cavern"/>
    <s v="Onshore"/>
    <n v="9.7000000000000003E-2"/>
    <n v="9.7000000000000003E-2"/>
    <m/>
    <n v="11.52"/>
    <n v="11.52"/>
    <m/>
    <n v="4.32"/>
    <n v="4.32"/>
    <m/>
    <s v="nTPA"/>
    <x v="0"/>
    <x v="0"/>
    <x v="0"/>
  </r>
  <r>
    <x v="23"/>
    <s v="TR0101"/>
    <s v="TR"/>
    <n v="1"/>
    <n v="1"/>
    <s v="Botas"/>
    <s v="Tuz Gölü / Aksaray Sultanhanı"/>
    <x v="0"/>
    <s v="existing"/>
    <n v="2017"/>
    <x v="1"/>
    <m/>
    <s v="Onshore"/>
    <n v="6.27"/>
    <n v="6.27"/>
    <m/>
    <n v="182.4"/>
    <n v="182.4"/>
    <m/>
    <n v="136.80000000000001"/>
    <n v="136.80000000000001"/>
    <m/>
    <s v="rTPA"/>
    <x v="1"/>
    <x v="1"/>
    <x v="1"/>
  </r>
  <r>
    <x v="23"/>
    <s v="TR0102"/>
    <s v="TR"/>
    <n v="1"/>
    <n v="2"/>
    <s v="Botas"/>
    <s v="Tuz Gölü / Aksaray Sultanhanı"/>
    <x v="2"/>
    <s v="expansion"/>
    <n v="2020"/>
    <x v="1"/>
    <m/>
    <s v="Onshore"/>
    <n v="7.41"/>
    <n v="7.41"/>
    <m/>
    <n v="182.4"/>
    <n v="182.4"/>
    <m/>
    <n v="136.80000000000001"/>
    <n v="136.80000000000001"/>
    <m/>
    <s v="rTPA"/>
    <x v="1"/>
    <x v="1"/>
    <x v="1"/>
  </r>
  <r>
    <x v="23"/>
    <s v="TR0103"/>
    <s v="TR"/>
    <n v="1"/>
    <n v="3"/>
    <s v="Botas"/>
    <s v="Tuz Gölü / Aksaray Sultanhanı"/>
    <x v="2"/>
    <s v="expansion"/>
    <n v="2023"/>
    <x v="1"/>
    <m/>
    <s v="Onshore"/>
    <n v="47.88000000000001"/>
    <n v="47.88000000000001"/>
    <m/>
    <n v="547.20000000000005"/>
    <n v="547.20000000000005"/>
    <m/>
    <n v="410.40000000000003"/>
    <n v="410.40000000000003"/>
    <m/>
    <s v="rTPA"/>
    <x v="1"/>
    <x v="1"/>
    <x v="1"/>
  </r>
  <r>
    <x v="23"/>
    <s v="TR0201"/>
    <s v="TR"/>
    <n v="2"/>
    <n v="1"/>
    <s v="Gaz Depo / Toren Gas Storage and Mining"/>
    <s v="Tarsus / Mersin"/>
    <x v="2"/>
    <s v="new facility"/>
    <n v="2021"/>
    <x v="1"/>
    <m/>
    <s v="Onshore"/>
    <n v="45.6"/>
    <n v="45.6"/>
    <m/>
    <n v="0"/>
    <m/>
    <m/>
    <n v="0"/>
    <m/>
    <m/>
    <s v="rTPA"/>
    <x v="1"/>
    <x v="1"/>
    <x v="1"/>
  </r>
  <r>
    <x v="23"/>
    <s v="TR0301"/>
    <s v="TR"/>
    <n v="3"/>
    <n v="1"/>
    <s v="Turkish Petroleum"/>
    <s v="Silivri (Marmara)"/>
    <x v="0"/>
    <s v="existing"/>
    <n v="2007"/>
    <x v="0"/>
    <s v="Gas"/>
    <s v="Offshore"/>
    <n v="0"/>
    <m/>
    <m/>
    <n v="0"/>
    <m/>
    <m/>
    <n v="0"/>
    <m/>
    <m/>
    <s v="rTPA"/>
    <x v="1"/>
    <x v="1"/>
    <x v="1"/>
  </r>
  <r>
    <x v="23"/>
    <s v="TR0302"/>
    <s v="TR"/>
    <n v="3"/>
    <n v="2"/>
    <s v="Turkish Petroleum"/>
    <s v="Silivri (Marmara)"/>
    <x v="0"/>
    <s v="expansion"/>
    <n v="2010"/>
    <x v="0"/>
    <s v="Gas"/>
    <s v="Offshore"/>
    <n v="28.753933649289102"/>
    <n v="6.061990521327016"/>
    <n v="22.691943127962087"/>
    <n v="0"/>
    <m/>
    <m/>
    <n v="0"/>
    <m/>
    <m/>
    <s v="rTPA"/>
    <x v="1"/>
    <x v="1"/>
    <x v="1"/>
  </r>
  <r>
    <x v="23"/>
    <s v="TR0303"/>
    <s v="TR"/>
    <n v="3"/>
    <n v="3"/>
    <s v="Turkish Petroleum"/>
    <s v="Silivri (Marmara)"/>
    <x v="2"/>
    <s v="expansion"/>
    <m/>
    <x v="0"/>
    <s v="Gas"/>
    <s v="Offshore"/>
    <n v="0"/>
    <m/>
    <m/>
    <n v="0"/>
    <m/>
    <m/>
    <n v="0"/>
    <m/>
    <m/>
    <s v="rTPA"/>
    <x v="1"/>
    <x v="1"/>
    <x v="1"/>
  </r>
  <r>
    <x v="18"/>
    <s v="UA0101"/>
    <s v="UA"/>
    <n v="1"/>
    <n v="1"/>
    <s v="PJSC Ukrtransgaz"/>
    <s v="Bilche-Volytsko-Uherske"/>
    <x v="0"/>
    <s v="existing"/>
    <n v="1990"/>
    <x v="0"/>
    <s v="Gas"/>
    <s v="Onshore"/>
    <n v="179.745"/>
    <n v="179.745"/>
    <m/>
    <n v="1265.0779"/>
    <n v="1265.0779"/>
    <m/>
    <n v="1075.3162"/>
    <n v="1075.3162"/>
    <m/>
    <s v="rTPA"/>
    <x v="1"/>
    <x v="1"/>
    <x v="1"/>
  </r>
  <r>
    <x v="18"/>
    <s v="UA0102"/>
    <s v="UA"/>
    <n v="1"/>
    <n v="2"/>
    <s v="PJSC Ukrtransgaz"/>
    <s v="Bohorodchanske"/>
    <x v="0"/>
    <s v="existing"/>
    <n v="1979"/>
    <x v="0"/>
    <s v="Gas"/>
    <s v="Onshore"/>
    <n v="24.247299999999999"/>
    <n v="24.247299999999999"/>
    <m/>
    <n v="274.10019999999997"/>
    <n v="274.10019999999997"/>
    <m/>
    <n v="527.11580000000004"/>
    <n v="527.11580000000004"/>
    <m/>
    <s v="rTPA"/>
    <x v="1"/>
    <x v="1"/>
    <x v="1"/>
  </r>
  <r>
    <x v="18"/>
    <s v="UA0103"/>
    <s v="UA"/>
    <n v="1"/>
    <n v="3"/>
    <s v="PJSC Ukrtransgaz"/>
    <s v="Chervonopartyzanske"/>
    <x v="0"/>
    <s v="existing"/>
    <n v="1989"/>
    <x v="2"/>
    <m/>
    <s v="Onshore"/>
    <n v="15.869351999999999"/>
    <n v="15.869351999999999"/>
    <m/>
    <n v="108.96955"/>
    <n v="108.96955"/>
    <m/>
    <n v="169.273088"/>
    <n v="169.273088"/>
    <m/>
    <s v="rTPA"/>
    <x v="1"/>
    <x v="1"/>
    <x v="1"/>
  </r>
  <r>
    <x v="18"/>
    <s v="UA0104"/>
    <s v="UA"/>
    <n v="1"/>
    <n v="4"/>
    <s v="PJSC Ukrtransgaz"/>
    <s v="Dashavske"/>
    <x v="0"/>
    <s v="existing"/>
    <n v="1987"/>
    <x v="0"/>
    <s v="Gas"/>
    <s v="Onshore"/>
    <n v="22.726048250000002"/>
    <n v="22.726048250000002"/>
    <m/>
    <n v="274.82663000000002"/>
    <n v="274.82663000000002"/>
    <m/>
    <n v="274.82663000000002"/>
    <n v="274.82663000000002"/>
    <m/>
    <s v="rTPA"/>
    <x v="1"/>
    <x v="1"/>
    <x v="1"/>
  </r>
  <r>
    <x v="18"/>
    <s v="UA0105"/>
    <s v="UA"/>
    <n v="1"/>
    <n v="5"/>
    <s v="PJSC Ukrtransgaz"/>
    <s v="Kehychivske"/>
    <x v="0"/>
    <s v="existing"/>
    <n v="1988"/>
    <x v="0"/>
    <s v="Gas"/>
    <s v="Onshore"/>
    <n v="7.3583037429999996"/>
    <n v="7.3583037429999996"/>
    <m/>
    <n v="89.350830999999999"/>
    <n v="89.350830999999999"/>
    <m/>
    <n v="94.606762000000003"/>
    <n v="94.606762000000003"/>
    <m/>
    <s v="rTPA"/>
    <x v="1"/>
    <x v="1"/>
    <x v="1"/>
  </r>
  <r>
    <x v="18"/>
    <s v="UA0106"/>
    <s v="UA"/>
    <n v="1"/>
    <n v="6"/>
    <s v="PJSC Ukrtransgaz"/>
    <s v="Krasnopopivske"/>
    <x v="0"/>
    <s v="existing"/>
    <n v="1977"/>
    <x v="0"/>
    <s v="Gas"/>
    <s v="Onshore"/>
    <n v="4.4747102400000003"/>
    <n v="4.4747102400000003"/>
    <m/>
    <n v="53.270359999999997"/>
    <n v="53.270359999999997"/>
    <m/>
    <n v="53.270359999999997"/>
    <n v="53.270359999999997"/>
    <m/>
    <s v="rTPA"/>
    <x v="1"/>
    <x v="1"/>
    <x v="1"/>
  </r>
  <r>
    <x v="18"/>
    <s v="UA0107"/>
    <s v="UA"/>
    <n v="1"/>
    <n v="7"/>
    <s v="PJSC Ukrtransgaz"/>
    <s v="Olyshivske"/>
    <x v="0"/>
    <s v="existing"/>
    <n v="1978"/>
    <x v="2"/>
    <m/>
    <s v="Onshore"/>
    <n v="3.28544014"/>
    <n v="3.28544014"/>
    <m/>
    <n v="21.196387999999999"/>
    <n v="21.196387999999999"/>
    <m/>
    <n v="22.256207"/>
    <n v="22.256207"/>
    <m/>
    <s v="rTPA"/>
    <x v="1"/>
    <x v="1"/>
    <x v="1"/>
  </r>
  <r>
    <x v="18"/>
    <s v="UA0108"/>
    <s v="UA"/>
    <n v="1"/>
    <n v="8"/>
    <s v="PJSC Ukrtransgaz"/>
    <s v="Oparske"/>
    <x v="0"/>
    <s v="existing"/>
    <n v="1984"/>
    <x v="0"/>
    <s v="Gas"/>
    <s v="Onshore"/>
    <n v="20.259127679999999"/>
    <n v="20.259127679999999"/>
    <m/>
    <n v="221.58420899999999"/>
    <n v="221.58420899999999"/>
    <m/>
    <n v="221.58420899999999"/>
    <n v="221.58420899999999"/>
    <m/>
    <s v="rTPA"/>
    <x v="1"/>
    <x v="1"/>
    <x v="1"/>
  </r>
  <r>
    <x v="18"/>
    <s v="UA0109"/>
    <s v="UA"/>
    <n v="1"/>
    <n v="9"/>
    <s v="PJSC Ukrtransgaz"/>
    <s v="Proletarske "/>
    <x v="0"/>
    <s v="existing"/>
    <n v="1991"/>
    <x v="0"/>
    <s v="Gas"/>
    <s v="Onshore"/>
    <n v="10.76312723"/>
    <n v="10.76312723"/>
    <m/>
    <n v="107.631272"/>
    <n v="107.631272"/>
    <m/>
    <n v="107.631272"/>
    <n v="107.631272"/>
    <m/>
    <s v="rTPA"/>
    <x v="1"/>
    <x v="1"/>
    <x v="1"/>
  </r>
  <r>
    <x v="18"/>
    <s v="UA0110"/>
    <s v="UA"/>
    <n v="1"/>
    <n v="10"/>
    <s v="PJSC Ukrtransgaz"/>
    <s v="Solokhivske"/>
    <x v="0"/>
    <s v="existing"/>
    <n v="1987"/>
    <x v="0"/>
    <s v="Gas"/>
    <s v="Onshore"/>
    <n v="13.8139729"/>
    <n v="13.8139729"/>
    <m/>
    <n v="83.946450999999996"/>
    <n v="83.946450999999996"/>
    <m/>
    <n v="138.13972899999999"/>
    <n v="138.13972899999999"/>
    <m/>
    <s v="rTPA"/>
    <x v="1"/>
    <x v="1"/>
    <x v="1"/>
  </r>
  <r>
    <x v="18"/>
    <s v="UA0111"/>
    <s v="UA"/>
    <n v="1"/>
    <n v="11"/>
    <s v="PJSC Ukrtransgaz"/>
    <s v="Uherske (XIV-XV)"/>
    <x v="0"/>
    <s v="existing"/>
    <n v="1982"/>
    <x v="0"/>
    <s v="Gas"/>
    <s v="Onshore"/>
    <n v="19.853453399999999"/>
    <n v="19.853453399999999"/>
    <m/>
    <n v="240.331278"/>
    <n v="240.331278"/>
    <m/>
    <n v="240.331278"/>
    <n v="240.331278"/>
    <m/>
    <s v="rTPA"/>
    <x v="1"/>
    <x v="1"/>
    <x v="1"/>
  </r>
  <r>
    <x v="18"/>
    <s v="UA0112"/>
    <s v="UA"/>
    <n v="1"/>
    <n v="12"/>
    <s v="PJSC Ukrtransgaz"/>
    <s v="Verhunske"/>
    <x v="0"/>
    <s v="existing"/>
    <n v="1996"/>
    <x v="0"/>
    <s v="Gas"/>
    <s v="Onshore"/>
    <n v="0"/>
    <n v="0"/>
    <m/>
    <n v="0"/>
    <n v="0"/>
    <m/>
    <n v="0"/>
    <n v="0"/>
    <m/>
    <s v="rTPA"/>
    <x v="1"/>
    <x v="1"/>
    <x v="1"/>
  </r>
  <r>
    <x v="24"/>
    <s v="GB0201"/>
    <s v="GB"/>
    <n v="1"/>
    <n v="1"/>
    <s v="EDF Energy"/>
    <s v="Hill Top Farm (Cheshire)"/>
    <x v="0"/>
    <s v="existing"/>
    <n v="2015"/>
    <x v="1"/>
    <m/>
    <s v="Onshore"/>
    <n v="0.56999999999999995"/>
    <n v="0.56999999999999995"/>
    <m/>
    <n v="136.80000000000001"/>
    <n v="136.80000000000001"/>
    <m/>
    <n v="0"/>
    <m/>
    <m/>
    <s v="No TPA"/>
    <x v="0"/>
    <x v="0"/>
    <x v="0"/>
  </r>
  <r>
    <x v="24"/>
    <s v="GB0202"/>
    <s v="GB"/>
    <n v="1"/>
    <n v="2"/>
    <s v="EDF Energy"/>
    <s v="Hill Top Farm (Cheshire)"/>
    <x v="1"/>
    <s v="expansion"/>
    <n v="2018"/>
    <x v="1"/>
    <m/>
    <s v="Onshore"/>
    <n v="0.37619999999999998"/>
    <n v="0.37619999999999998"/>
    <m/>
    <n v="90.288000000000011"/>
    <n v="90.288000000000011"/>
    <m/>
    <n v="0"/>
    <m/>
    <m/>
    <s v="No TPA"/>
    <x v="0"/>
    <x v="0"/>
    <x v="0"/>
  </r>
  <r>
    <x v="24"/>
    <s v="GB0203"/>
    <s v="GB"/>
    <n v="1"/>
    <n v="3"/>
    <s v="EDF Energy"/>
    <s v="Hole House Farm"/>
    <x v="0"/>
    <s v="existing"/>
    <n v="2001"/>
    <x v="1"/>
    <m/>
    <s v="Onshore"/>
    <n v="0.25080000000000002"/>
    <n v="0.25080000000000002"/>
    <m/>
    <n v="57"/>
    <n v="57"/>
    <m/>
    <n v="0"/>
    <m/>
    <m/>
    <s v="No TPA"/>
    <x v="0"/>
    <x v="0"/>
    <x v="0"/>
  </r>
  <r>
    <x v="24"/>
    <s v="GB0401"/>
    <s v="GB"/>
    <n v="2"/>
    <n v="1"/>
    <s v="Stag Energy (instead of Gateway)"/>
    <s v="Offshore Morecambe Bay"/>
    <x v="2"/>
    <s v="new facility"/>
    <m/>
    <x v="1"/>
    <m/>
    <s v="Offshore"/>
    <n v="17.100000000000001"/>
    <n v="17.100000000000001"/>
    <m/>
    <n v="0"/>
    <m/>
    <m/>
    <n v="0"/>
    <m/>
    <m/>
    <s v="nTPA"/>
    <x v="0"/>
    <x v="0"/>
    <x v="0"/>
  </r>
  <r>
    <x v="24"/>
    <s v="GB0501"/>
    <s v="GB"/>
    <n v="3"/>
    <n v="1"/>
    <s v="Halite Energy Group"/>
    <s v="Lancashire"/>
    <x v="2"/>
    <s v="new facility"/>
    <n v="2020"/>
    <x v="1"/>
    <m/>
    <s v="Onshore"/>
    <n v="6.84"/>
    <n v="6.84"/>
    <m/>
    <n v="0"/>
    <m/>
    <m/>
    <n v="0"/>
    <m/>
    <m/>
    <s v="nTPA"/>
    <x v="0"/>
    <x v="0"/>
    <x v="0"/>
  </r>
  <r>
    <x v="24"/>
    <s v="GB0601"/>
    <s v="GB"/>
    <n v="4"/>
    <n v="1"/>
    <s v="E.ON"/>
    <s v="Cheshire (Holford GS)"/>
    <x v="0"/>
    <s v="existing"/>
    <n v="2012"/>
    <x v="1"/>
    <m/>
    <s v="Onshore"/>
    <n v="2.2800000000000002"/>
    <n v="2.2800000000000002"/>
    <m/>
    <n v="250.8"/>
    <n v="250.8"/>
    <m/>
    <n v="0"/>
    <m/>
    <m/>
    <s v="No TPA"/>
    <x v="0"/>
    <x v="0"/>
    <x v="0"/>
  </r>
  <r>
    <x v="24"/>
    <s v="GB0701"/>
    <s v="GB"/>
    <n v="5"/>
    <n v="1"/>
    <s v="Humbly Grove Energy"/>
    <s v="Hampshire"/>
    <x v="0"/>
    <s v="existing"/>
    <n v="2005"/>
    <x v="0"/>
    <s v="Gas"/>
    <s v="Onshore"/>
    <n v="3.42"/>
    <n v="3.42"/>
    <m/>
    <n v="79.8"/>
    <n v="79.8"/>
    <m/>
    <n v="0"/>
    <m/>
    <m/>
    <s v="No TPA"/>
    <x v="0"/>
    <x v="0"/>
    <x v="0"/>
  </r>
  <r>
    <x v="24"/>
    <s v="GB0801"/>
    <s v="GB"/>
    <n v="6"/>
    <n v="1"/>
    <s v="InfrasStrata"/>
    <s v="Islandmagee / County Antrim, Northern Ireland"/>
    <x v="2"/>
    <s v="new facility"/>
    <n v="2021"/>
    <x v="1"/>
    <m/>
    <m/>
    <n v="1.9000000000000001"/>
    <n v="1.9000000000000001"/>
    <m/>
    <n v="83.600000000000009"/>
    <n v="83.600000000000009"/>
    <m/>
    <n v="45.6"/>
    <n v="45.6"/>
    <m/>
    <s v="nTPA"/>
    <x v="0"/>
    <x v="0"/>
    <x v="0"/>
  </r>
  <r>
    <x v="24"/>
    <s v="GB0802"/>
    <s v="GB"/>
    <n v="6"/>
    <n v="2"/>
    <s v="InfrasStrata"/>
    <s v="Islandmagee / County Antrim, Northern Ireland"/>
    <x v="2"/>
    <s v="expansion"/>
    <n v="2022"/>
    <x v="1"/>
    <m/>
    <m/>
    <n v="1.9000000000000001"/>
    <n v="1.9000000000000001"/>
    <m/>
    <n v="83.600000000000009"/>
    <n v="83.600000000000009"/>
    <m/>
    <n v="45.6"/>
    <n v="45.6"/>
    <m/>
    <s v="nTPA"/>
    <x v="0"/>
    <x v="0"/>
    <x v="0"/>
  </r>
  <r>
    <x v="24"/>
    <s v="GB0803"/>
    <s v="GB"/>
    <n v="6"/>
    <n v="3"/>
    <s v="InfrasStrata"/>
    <s v="Islandmagee / County Antrim, Northern Ireland"/>
    <x v="2"/>
    <s v="expansion"/>
    <n v="2025"/>
    <x v="1"/>
    <m/>
    <m/>
    <n v="1.9000000000000001"/>
    <n v="1.9000000000000001"/>
    <m/>
    <n v="83.600000000000009"/>
    <n v="83.600000000000009"/>
    <m/>
    <n v="45.6"/>
    <n v="45.6"/>
    <m/>
    <s v="nTPA"/>
    <x v="0"/>
    <x v="0"/>
    <x v="0"/>
  </r>
  <r>
    <x v="24"/>
    <s v="GB0901"/>
    <s v="GB"/>
    <n v="7"/>
    <n v="1"/>
    <s v="Keuper Gas Storage"/>
    <s v="Holford Brinefield"/>
    <x v="2"/>
    <s v="new facility"/>
    <n v="2020"/>
    <x v="1"/>
    <m/>
    <s v="Onshore"/>
    <n v="5.7"/>
    <n v="5.7"/>
    <m/>
    <n v="387.6"/>
    <n v="387.6"/>
    <m/>
    <n v="387.6"/>
    <n v="387.6"/>
    <m/>
    <s v="nTPA"/>
    <x v="0"/>
    <x v="0"/>
    <x v="0"/>
  </r>
  <r>
    <x v="24"/>
    <s v="GB1001"/>
    <s v="GB"/>
    <n v="8"/>
    <n v="1"/>
    <s v="King Street Energy"/>
    <s v="Cheshire"/>
    <x v="2"/>
    <s v="new facility"/>
    <n v="2020"/>
    <x v="1"/>
    <m/>
    <s v="Onshore"/>
    <n v="6.2130000000000001"/>
    <n v="6.2130000000000001"/>
    <m/>
    <n v="0"/>
    <m/>
    <m/>
    <n v="0"/>
    <m/>
    <m/>
    <s v="nTPA"/>
    <x v="0"/>
    <x v="0"/>
    <x v="0"/>
  </r>
  <r>
    <x v="24"/>
    <s v="GB1101"/>
    <s v="GB"/>
    <n v="9"/>
    <n v="1"/>
    <s v="Scottish Power"/>
    <s v="Hatfield Moor"/>
    <x v="0"/>
    <s v="existing"/>
    <n v="2000"/>
    <x v="0"/>
    <s v="Gas"/>
    <s v="Onshore"/>
    <n v="0.79800000000000015"/>
    <n v="0.79800000000000015"/>
    <m/>
    <n v="20.52"/>
    <n v="20.52"/>
    <m/>
    <n v="20.52"/>
    <n v="20.52"/>
    <m/>
    <s v="No TPA"/>
    <x v="0"/>
    <x v="0"/>
    <x v="0"/>
  </r>
  <r>
    <x v="24"/>
    <s v="GB1201"/>
    <s v="GB"/>
    <n v="10"/>
    <n v="1"/>
    <s v="SSE/Statoil"/>
    <s v="Aldbrough I"/>
    <x v="0"/>
    <s v="existing"/>
    <n v="2009"/>
    <x v="1"/>
    <m/>
    <s v="Onshore"/>
    <n v="2.1652"/>
    <n v="2.1652"/>
    <m/>
    <n v="342"/>
    <n v="342"/>
    <m/>
    <n v="311"/>
    <n v="311"/>
    <m/>
    <s v="No TPA"/>
    <x v="0"/>
    <x v="0"/>
    <x v="0"/>
  </r>
  <r>
    <x v="24"/>
    <s v="GB1203"/>
    <s v="GB"/>
    <n v="10"/>
    <n v="3"/>
    <s v="SSE"/>
    <s v="Hornsea (Atwick)"/>
    <x v="0"/>
    <s v="existing"/>
    <n v="1979"/>
    <x v="1"/>
    <m/>
    <s v="Onshore"/>
    <n v="2.6137999999999999"/>
    <n v="2.6137999999999999"/>
    <m/>
    <n v="130"/>
    <n v="130"/>
    <m/>
    <n v="30"/>
    <n v="30"/>
    <m/>
    <s v="nTPA"/>
    <x v="0"/>
    <x v="0"/>
    <x v="0"/>
  </r>
  <r>
    <x v="24"/>
    <s v="GB1301"/>
    <s v="GB"/>
    <n v="11"/>
    <n v="1"/>
    <s v="Storengy UK"/>
    <s v="Stublach"/>
    <x v="0"/>
    <s v="existing"/>
    <n v="2014"/>
    <x v="1"/>
    <m/>
    <s v="Onshore"/>
    <n v="2.4104999999999999"/>
    <n v="2.4104999999999999"/>
    <m/>
    <n v="200"/>
    <n v="200"/>
    <m/>
    <n v="160"/>
    <n v="160"/>
    <m/>
    <s v="No TPA"/>
    <x v="0"/>
    <x v="0"/>
    <x v="0"/>
  </r>
  <r>
    <x v="24"/>
    <s v="GB1302"/>
    <s v="GB"/>
    <n v="11"/>
    <n v="2"/>
    <s v="Storengy UK"/>
    <s v="Stublach"/>
    <x v="2"/>
    <s v="expansion"/>
    <n v="2019"/>
    <x v="1"/>
    <m/>
    <s v="Onshore"/>
    <n v="0.88949999999999996"/>
    <n v="0.88949999999999996"/>
    <m/>
    <n v="0"/>
    <n v="0"/>
    <m/>
    <n v="0"/>
    <n v="0"/>
    <m/>
    <s v="nTPA"/>
    <x v="0"/>
    <x v="0"/>
    <x v="0"/>
  </r>
  <r>
    <x v="24"/>
    <s v="GB1303"/>
    <s v="GB"/>
    <n v="11"/>
    <n v="3"/>
    <s v="Storengy UK"/>
    <s v="Stublach"/>
    <x v="2"/>
    <s v="expansion"/>
    <n v="2020"/>
    <x v="1"/>
    <m/>
    <s v="Onshore"/>
    <n v="1.1000000000000005"/>
    <n v="1.1000000000000005"/>
    <m/>
    <n v="130"/>
    <n v="130"/>
    <m/>
    <n v="170"/>
    <n v="170"/>
    <m/>
    <s v="nTPA"/>
    <x v="0"/>
    <x v="0"/>
    <x v="0"/>
  </r>
  <r>
    <x v="24"/>
    <s v="GB1401"/>
    <s v="GB"/>
    <n v="12"/>
    <n v="1"/>
    <s v="Uniper Energy Storage"/>
    <s v="Holford"/>
    <x v="0"/>
    <s v="existing"/>
    <m/>
    <x v="1"/>
    <m/>
    <m/>
    <n v="1.95"/>
    <n v="1.95"/>
    <m/>
    <n v="238.333"/>
    <n v="238.333"/>
    <m/>
    <n v="238.333"/>
    <n v="238.333"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1ACA7-3863-447A-9BC3-4C12FA7BDF85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E28" firstHeaderRow="1" firstDataRow="2" firstDataCol="1" rowPageCount="3" colPageCount="1"/>
  <pivotFields count="2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25"/>
        <item x="13"/>
        <item x="14"/>
        <item x="15"/>
        <item x="16"/>
        <item x="17"/>
        <item x="19"/>
        <item x="20"/>
        <item x="21"/>
        <item x="22"/>
        <item x="23"/>
        <item x="18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m="1" x="2"/>
        <item t="default"/>
      </items>
    </pivotField>
    <pivotField axis="axisPage" multipleItemSelectionAllowed="1" showAll="0">
      <items count="4">
        <item h="1" x="1"/>
        <item x="0"/>
        <item h="1" m="1" x="2"/>
        <item t="default"/>
      </items>
    </pivotField>
    <pivotField axis="axisPage" showAll="0">
      <items count="4">
        <item m="1" x="2"/>
        <item x="1"/>
        <item x="0"/>
        <item t="default"/>
      </items>
    </pivotField>
  </pivotFields>
  <rowFields count="1">
    <field x="0"/>
  </rowFields>
  <rowItems count="2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2"/>
    </i>
    <i>
      <x v="2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25" item="2" hier="-1"/>
    <pageField fld="23" hier="-1"/>
    <pageField fld="24" hier="-1"/>
  </pageFields>
  <dataFields count="1">
    <dataField name="Sum of Withdrawal_x000a_technical_x000a_GWh/day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DD60-74C6-41CD-B4D6-56BB26E2B038}">
  <dimension ref="A1:Z264"/>
  <sheetViews>
    <sheetView showGridLines="0" tabSelected="1" workbookViewId="0">
      <pane xSplit="8" ySplit="2" topLeftCell="I3" activePane="bottomRight" state="frozen"/>
      <selection pane="topRight" activeCell="I1" sqref="I1"/>
      <selection pane="bottomLeft" activeCell="A4" sqref="A4"/>
      <selection pane="bottomRight" activeCell="Q1" sqref="Q1"/>
    </sheetView>
  </sheetViews>
  <sheetFormatPr defaultRowHeight="15" x14ac:dyDescent="0.25"/>
  <cols>
    <col min="1" max="1" width="10" style="1" customWidth="1"/>
    <col min="2" max="2" width="8.42578125" style="1" customWidth="1"/>
    <col min="3" max="3" width="5.7109375" style="1" customWidth="1"/>
    <col min="4" max="4" width="3.42578125" style="1" customWidth="1"/>
    <col min="5" max="5" width="3.140625" style="1" customWidth="1"/>
    <col min="6" max="6" width="26.85546875" style="1" customWidth="1"/>
    <col min="7" max="7" width="44.5703125" style="2" customWidth="1"/>
    <col min="8" max="8" width="14.140625" style="2" customWidth="1"/>
    <col min="9" max="9" width="10.140625" style="2" customWidth="1"/>
    <col min="10" max="10" width="6.85546875" style="3" customWidth="1"/>
    <col min="11" max="11" width="14.42578125" style="1" customWidth="1"/>
    <col min="12" max="12" width="9.28515625" style="1" customWidth="1"/>
    <col min="13" max="13" width="9.5703125" style="1" customWidth="1"/>
    <col min="14" max="14" width="12.28515625" style="4" bestFit="1" customWidth="1"/>
    <col min="15" max="15" width="8.7109375" style="5" customWidth="1"/>
    <col min="16" max="16" width="8.85546875" style="6" customWidth="1"/>
    <col min="17" max="17" width="12.7109375" style="4" bestFit="1" customWidth="1"/>
    <col min="18" max="18" width="8.7109375" style="7" customWidth="1"/>
    <col min="19" max="19" width="8.42578125" style="6" customWidth="1"/>
    <col min="20" max="20" width="10.5703125" style="4" bestFit="1" customWidth="1"/>
    <col min="21" max="21" width="10.140625" style="8" customWidth="1"/>
    <col min="22" max="22" width="13.28515625" style="6" bestFit="1" customWidth="1"/>
    <col min="23" max="23" width="7.28515625" style="9" customWidth="1"/>
    <col min="24" max="24" width="11.42578125" customWidth="1"/>
    <col min="25" max="25" width="6.42578125" customWidth="1"/>
    <col min="26" max="26" width="9.140625" style="54" customWidth="1"/>
  </cols>
  <sheetData>
    <row r="1" spans="1:26" ht="81" customHeight="1" x14ac:dyDescent="0.25">
      <c r="A1"/>
      <c r="G1" s="163" t="s">
        <v>567</v>
      </c>
      <c r="H1" s="164"/>
      <c r="I1" s="164"/>
      <c r="J1" s="164"/>
      <c r="K1" s="164"/>
    </row>
    <row r="2" spans="1:26" s="15" customFormat="1" ht="105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3" t="s">
        <v>12</v>
      </c>
      <c r="N2" s="11" t="s">
        <v>13</v>
      </c>
      <c r="O2" s="11" t="s">
        <v>14</v>
      </c>
      <c r="P2" s="11" t="s">
        <v>15</v>
      </c>
      <c r="Q2" s="13" t="s">
        <v>16</v>
      </c>
      <c r="R2" s="11" t="s">
        <v>17</v>
      </c>
      <c r="S2" s="11" t="s">
        <v>18</v>
      </c>
      <c r="T2" s="13" t="s">
        <v>19</v>
      </c>
      <c r="U2" s="14" t="s">
        <v>20</v>
      </c>
      <c r="V2" s="11" t="s">
        <v>21</v>
      </c>
      <c r="W2" s="11" t="s">
        <v>22</v>
      </c>
      <c r="X2" s="156" t="s">
        <v>540</v>
      </c>
      <c r="Y2" s="156" t="s">
        <v>541</v>
      </c>
      <c r="Z2" s="156" t="s">
        <v>542</v>
      </c>
    </row>
    <row r="3" spans="1:26" x14ac:dyDescent="0.25">
      <c r="A3" s="16" t="s">
        <v>23</v>
      </c>
      <c r="B3" s="16" t="s">
        <v>24</v>
      </c>
      <c r="C3" s="16" t="s">
        <v>25</v>
      </c>
      <c r="D3" s="16">
        <v>1</v>
      </c>
      <c r="E3" s="16">
        <v>1</v>
      </c>
      <c r="F3" s="16" t="s">
        <v>26</v>
      </c>
      <c r="G3" s="16" t="s">
        <v>27</v>
      </c>
      <c r="H3" s="16" t="s">
        <v>28</v>
      </c>
      <c r="I3" s="16" t="s">
        <v>29</v>
      </c>
      <c r="J3" s="17">
        <v>2007</v>
      </c>
      <c r="K3" s="16" t="s">
        <v>30</v>
      </c>
      <c r="L3" s="16" t="s">
        <v>31</v>
      </c>
      <c r="M3" s="16" t="s">
        <v>32</v>
      </c>
      <c r="N3" s="18">
        <f t="shared" ref="N3:N66" si="0">O3+P3</f>
        <v>10.4435</v>
      </c>
      <c r="O3" s="20">
        <v>10.4435</v>
      </c>
      <c r="P3" s="20"/>
      <c r="Q3" s="18">
        <f t="shared" ref="Q3:Q66" si="1">R3+S3</f>
        <v>104.5856</v>
      </c>
      <c r="R3" s="20">
        <v>104.5856</v>
      </c>
      <c r="S3" s="20"/>
      <c r="T3" s="19">
        <f t="shared" ref="T3:T66" si="2">U3+V3</f>
        <v>90.16</v>
      </c>
      <c r="U3" s="20">
        <v>90.16</v>
      </c>
      <c r="V3" s="20"/>
      <c r="W3" s="16" t="s">
        <v>33</v>
      </c>
      <c r="X3" s="154" t="s">
        <v>34</v>
      </c>
      <c r="Y3" s="154" t="s">
        <v>34</v>
      </c>
      <c r="Z3" s="155" t="s">
        <v>544</v>
      </c>
    </row>
    <row r="4" spans="1:26" x14ac:dyDescent="0.25">
      <c r="A4" s="16" t="s">
        <v>23</v>
      </c>
      <c r="B4" s="16" t="s">
        <v>35</v>
      </c>
      <c r="C4" s="16" t="s">
        <v>25</v>
      </c>
      <c r="D4" s="16">
        <v>2</v>
      </c>
      <c r="E4" s="16">
        <v>1</v>
      </c>
      <c r="F4" s="16" t="s">
        <v>36</v>
      </c>
      <c r="G4" s="16" t="s">
        <v>27</v>
      </c>
      <c r="H4" s="16" t="s">
        <v>28</v>
      </c>
      <c r="I4" s="16" t="s">
        <v>29</v>
      </c>
      <c r="J4" s="17">
        <v>2007</v>
      </c>
      <c r="K4" s="16" t="s">
        <v>30</v>
      </c>
      <c r="L4" s="16" t="s">
        <v>31</v>
      </c>
      <c r="M4" s="16" t="s">
        <v>32</v>
      </c>
      <c r="N4" s="18">
        <f t="shared" si="0"/>
        <v>19.992799999999999</v>
      </c>
      <c r="O4" s="20">
        <v>19.992799999999999</v>
      </c>
      <c r="P4" s="20"/>
      <c r="Q4" s="18">
        <f t="shared" si="1"/>
        <v>198.17590000000001</v>
      </c>
      <c r="R4" s="20">
        <v>198.17590000000001</v>
      </c>
      <c r="S4" s="20"/>
      <c r="T4" s="19">
        <f t="shared" si="2"/>
        <v>177.6</v>
      </c>
      <c r="U4" s="20">
        <v>177.6</v>
      </c>
      <c r="V4" s="20"/>
      <c r="W4" s="16" t="s">
        <v>33</v>
      </c>
      <c r="X4" s="152" t="s">
        <v>34</v>
      </c>
      <c r="Y4" s="152" t="s">
        <v>34</v>
      </c>
      <c r="Z4" s="28" t="s">
        <v>544</v>
      </c>
    </row>
    <row r="5" spans="1:26" x14ac:dyDescent="0.25">
      <c r="A5" s="42" t="s">
        <v>23</v>
      </c>
      <c r="B5" s="42" t="s">
        <v>37</v>
      </c>
      <c r="C5" s="42" t="s">
        <v>25</v>
      </c>
      <c r="D5" s="42">
        <v>3</v>
      </c>
      <c r="E5" s="42">
        <v>1</v>
      </c>
      <c r="F5" s="42" t="s">
        <v>38</v>
      </c>
      <c r="G5" s="42" t="s">
        <v>39</v>
      </c>
      <c r="H5" s="42" t="s">
        <v>28</v>
      </c>
      <c r="I5" s="42" t="s">
        <v>29</v>
      </c>
      <c r="J5" s="43">
        <v>1977</v>
      </c>
      <c r="K5" s="42" t="s">
        <v>30</v>
      </c>
      <c r="L5" s="42" t="s">
        <v>31</v>
      </c>
      <c r="M5" s="42" t="s">
        <v>32</v>
      </c>
      <c r="N5" s="45">
        <f t="shared" si="0"/>
        <v>20.7242</v>
      </c>
      <c r="O5" s="108">
        <f>1834000000*11.3/1000000000</f>
        <v>20.7242</v>
      </c>
      <c r="P5" s="108"/>
      <c r="Q5" s="45">
        <f t="shared" si="1"/>
        <v>260.35200000000003</v>
      </c>
      <c r="R5" s="108">
        <f>960000*24*11.3/1000000</f>
        <v>260.35200000000003</v>
      </c>
      <c r="S5" s="108"/>
      <c r="T5" s="46">
        <f t="shared" si="2"/>
        <v>176.28</v>
      </c>
      <c r="U5" s="108">
        <f>650000*24*11.3/1000000</f>
        <v>176.28</v>
      </c>
      <c r="V5" s="108">
        <v>0</v>
      </c>
      <c r="W5" s="42" t="s">
        <v>33</v>
      </c>
      <c r="X5" s="42" t="s">
        <v>34</v>
      </c>
      <c r="Y5" s="42" t="s">
        <v>34</v>
      </c>
      <c r="Z5" s="28" t="s">
        <v>544</v>
      </c>
    </row>
    <row r="6" spans="1:26" x14ac:dyDescent="0.25">
      <c r="A6" s="42" t="s">
        <v>23</v>
      </c>
      <c r="B6" s="42" t="s">
        <v>40</v>
      </c>
      <c r="C6" s="42" t="s">
        <v>25</v>
      </c>
      <c r="D6" s="42">
        <v>3</v>
      </c>
      <c r="E6" s="42">
        <v>2</v>
      </c>
      <c r="F6" s="42" t="s">
        <v>38</v>
      </c>
      <c r="G6" s="42" t="s">
        <v>41</v>
      </c>
      <c r="H6" s="42" t="s">
        <v>28</v>
      </c>
      <c r="I6" s="42" t="s">
        <v>29</v>
      </c>
      <c r="J6" s="43">
        <v>1974</v>
      </c>
      <c r="K6" s="42" t="s">
        <v>30</v>
      </c>
      <c r="L6" s="42" t="s">
        <v>31</v>
      </c>
      <c r="M6" s="42" t="s">
        <v>32</v>
      </c>
      <c r="N6" s="45">
        <f t="shared" si="0"/>
        <v>4.5199999999999996</v>
      </c>
      <c r="O6" s="108">
        <f>400000000*11.3/1000000000</f>
        <v>4.5199999999999996</v>
      </c>
      <c r="P6" s="108"/>
      <c r="Q6" s="45">
        <f t="shared" si="1"/>
        <v>43.392000000000003</v>
      </c>
      <c r="R6" s="108">
        <f>160000*24*11.3/1000000</f>
        <v>43.392000000000003</v>
      </c>
      <c r="S6" s="108"/>
      <c r="T6" s="46">
        <f t="shared" si="2"/>
        <v>33.9</v>
      </c>
      <c r="U6" s="108">
        <f>125000*24*11.3/1000000</f>
        <v>33.9</v>
      </c>
      <c r="V6" s="108">
        <v>0</v>
      </c>
      <c r="W6" s="42" t="s">
        <v>33</v>
      </c>
      <c r="X6" s="42" t="s">
        <v>34</v>
      </c>
      <c r="Y6" s="42" t="s">
        <v>34</v>
      </c>
      <c r="Z6" s="28" t="s">
        <v>544</v>
      </c>
    </row>
    <row r="7" spans="1:26" x14ac:dyDescent="0.25">
      <c r="A7" s="109" t="s">
        <v>23</v>
      </c>
      <c r="B7" s="21" t="s">
        <v>42</v>
      </c>
      <c r="C7" s="21" t="s">
        <v>25</v>
      </c>
      <c r="D7" s="21">
        <v>3</v>
      </c>
      <c r="E7" s="21"/>
      <c r="F7" s="110" t="s">
        <v>38</v>
      </c>
      <c r="G7" s="110" t="s">
        <v>43</v>
      </c>
      <c r="H7" s="21" t="s">
        <v>28</v>
      </c>
      <c r="I7" s="21" t="s">
        <v>29</v>
      </c>
      <c r="J7" s="22"/>
      <c r="K7" s="21" t="s">
        <v>30</v>
      </c>
      <c r="L7" s="21" t="s">
        <v>31</v>
      </c>
      <c r="M7" s="21" t="s">
        <v>32</v>
      </c>
      <c r="N7" s="23">
        <f t="shared" si="0"/>
        <v>25.244199999999999</v>
      </c>
      <c r="O7" s="24">
        <v>25.244199999999999</v>
      </c>
      <c r="P7" s="24"/>
      <c r="Q7" s="23">
        <f t="shared" si="1"/>
        <v>303.74</v>
      </c>
      <c r="R7" s="24">
        <v>303.74</v>
      </c>
      <c r="S7" s="24"/>
      <c r="T7" s="25">
        <f t="shared" si="2"/>
        <v>210.18</v>
      </c>
      <c r="U7" s="24">
        <v>210.18</v>
      </c>
      <c r="V7" s="24">
        <f>SUM(V2:V3)</f>
        <v>0</v>
      </c>
      <c r="W7" s="21" t="s">
        <v>33</v>
      </c>
      <c r="X7" s="153" t="s">
        <v>44</v>
      </c>
      <c r="Y7" s="153" t="s">
        <v>44</v>
      </c>
      <c r="Z7" s="28" t="s">
        <v>544</v>
      </c>
    </row>
    <row r="8" spans="1:26" x14ac:dyDescent="0.25">
      <c r="A8" s="42" t="s">
        <v>23</v>
      </c>
      <c r="B8" s="42" t="s">
        <v>45</v>
      </c>
      <c r="C8" s="42" t="s">
        <v>25</v>
      </c>
      <c r="D8" s="42">
        <v>4</v>
      </c>
      <c r="E8" s="42">
        <v>1</v>
      </c>
      <c r="F8" s="42" t="s">
        <v>46</v>
      </c>
      <c r="G8" s="42" t="s">
        <v>47</v>
      </c>
      <c r="H8" s="42" t="s">
        <v>28</v>
      </c>
      <c r="I8" s="42" t="s">
        <v>29</v>
      </c>
      <c r="J8" s="43">
        <v>2011</v>
      </c>
      <c r="K8" s="42" t="s">
        <v>30</v>
      </c>
      <c r="L8" s="42" t="s">
        <v>31</v>
      </c>
      <c r="M8" s="42" t="s">
        <v>32</v>
      </c>
      <c r="N8" s="45">
        <f t="shared" si="0"/>
        <v>1.47</v>
      </c>
      <c r="O8" s="108">
        <v>1.47</v>
      </c>
      <c r="P8" s="108"/>
      <c r="Q8" s="45">
        <f t="shared" si="1"/>
        <v>13.584</v>
      </c>
      <c r="R8" s="108">
        <v>13.584</v>
      </c>
      <c r="S8" s="108"/>
      <c r="T8" s="46">
        <f t="shared" si="2"/>
        <v>13.584</v>
      </c>
      <c r="U8" s="108">
        <v>13.584</v>
      </c>
      <c r="V8" s="108"/>
      <c r="W8" s="42" t="s">
        <v>33</v>
      </c>
      <c r="X8" s="42" t="s">
        <v>34</v>
      </c>
      <c r="Y8" s="42" t="s">
        <v>34</v>
      </c>
      <c r="Z8" s="28" t="s">
        <v>544</v>
      </c>
    </row>
    <row r="9" spans="1:26" x14ac:dyDescent="0.25">
      <c r="A9" s="42" t="s">
        <v>23</v>
      </c>
      <c r="B9" s="42" t="s">
        <v>48</v>
      </c>
      <c r="C9" s="42" t="s">
        <v>25</v>
      </c>
      <c r="D9" s="42">
        <v>4</v>
      </c>
      <c r="E9" s="42">
        <v>2</v>
      </c>
      <c r="F9" s="42" t="s">
        <v>46</v>
      </c>
      <c r="G9" s="42" t="s">
        <v>49</v>
      </c>
      <c r="H9" s="42" t="s">
        <v>28</v>
      </c>
      <c r="I9" s="42" t="s">
        <v>29</v>
      </c>
      <c r="J9" s="43">
        <v>2006</v>
      </c>
      <c r="K9" s="42" t="s">
        <v>30</v>
      </c>
      <c r="L9" s="42" t="s">
        <v>31</v>
      </c>
      <c r="M9" s="42" t="s">
        <v>32</v>
      </c>
      <c r="N9" s="45">
        <f t="shared" si="0"/>
        <v>0.18099999999999999</v>
      </c>
      <c r="O9" s="108">
        <v>0.18099999999999999</v>
      </c>
      <c r="P9" s="108"/>
      <c r="Q9" s="45">
        <f t="shared" si="1"/>
        <v>5.4240000000000004</v>
      </c>
      <c r="R9" s="108">
        <v>5.4240000000000004</v>
      </c>
      <c r="S9" s="108"/>
      <c r="T9" s="46">
        <f t="shared" si="2"/>
        <v>5.4240000000000004</v>
      </c>
      <c r="U9" s="108">
        <v>5.4240000000000004</v>
      </c>
      <c r="V9" s="108"/>
      <c r="W9" s="42" t="s">
        <v>33</v>
      </c>
      <c r="X9" s="42" t="s">
        <v>34</v>
      </c>
      <c r="Y9" s="42" t="s">
        <v>34</v>
      </c>
      <c r="Z9" s="28" t="s">
        <v>544</v>
      </c>
    </row>
    <row r="10" spans="1:26" x14ac:dyDescent="0.25">
      <c r="A10" s="42" t="s">
        <v>23</v>
      </c>
      <c r="B10" s="42" t="s">
        <v>50</v>
      </c>
      <c r="C10" s="42" t="s">
        <v>25</v>
      </c>
      <c r="D10" s="42">
        <v>4</v>
      </c>
      <c r="E10" s="42">
        <v>3</v>
      </c>
      <c r="F10" s="42" t="s">
        <v>46</v>
      </c>
      <c r="G10" s="42" t="s">
        <v>51</v>
      </c>
      <c r="H10" s="42" t="s">
        <v>28</v>
      </c>
      <c r="I10" s="42" t="s">
        <v>29</v>
      </c>
      <c r="J10" s="43">
        <v>2014</v>
      </c>
      <c r="K10" s="42" t="s">
        <v>30</v>
      </c>
      <c r="L10" s="42" t="s">
        <v>31</v>
      </c>
      <c r="M10" s="42" t="s">
        <v>32</v>
      </c>
      <c r="N10" s="45">
        <f t="shared" si="0"/>
        <v>3.2570000000000001</v>
      </c>
      <c r="O10" s="108">
        <v>3.2570000000000001</v>
      </c>
      <c r="P10" s="108"/>
      <c r="Q10" s="45">
        <f t="shared" si="1"/>
        <v>40.728000000000002</v>
      </c>
      <c r="R10" s="108">
        <v>40.728000000000002</v>
      </c>
      <c r="S10" s="108"/>
      <c r="T10" s="46">
        <f t="shared" si="2"/>
        <v>32.64</v>
      </c>
      <c r="U10" s="108">
        <v>32.64</v>
      </c>
      <c r="V10" s="108"/>
      <c r="W10" s="42" t="s">
        <v>33</v>
      </c>
      <c r="X10" s="42" t="s">
        <v>34</v>
      </c>
      <c r="Y10" s="42" t="s">
        <v>34</v>
      </c>
      <c r="Z10" s="28" t="s">
        <v>544</v>
      </c>
    </row>
    <row r="11" spans="1:26" x14ac:dyDescent="0.25">
      <c r="A11" s="42" t="s">
        <v>23</v>
      </c>
      <c r="B11" s="42" t="s">
        <v>52</v>
      </c>
      <c r="C11" s="42" t="s">
        <v>25</v>
      </c>
      <c r="D11" s="42">
        <v>4</v>
      </c>
      <c r="E11" s="42">
        <v>4</v>
      </c>
      <c r="F11" s="42" t="s">
        <v>46</v>
      </c>
      <c r="G11" s="42" t="s">
        <v>53</v>
      </c>
      <c r="H11" s="42" t="s">
        <v>28</v>
      </c>
      <c r="I11" s="42" t="s">
        <v>29</v>
      </c>
      <c r="J11" s="43">
        <v>1982</v>
      </c>
      <c r="K11" s="42" t="s">
        <v>30</v>
      </c>
      <c r="L11" s="42" t="s">
        <v>31</v>
      </c>
      <c r="M11" s="42" t="s">
        <v>32</v>
      </c>
      <c r="N11" s="45">
        <f t="shared" si="0"/>
        <v>12.215</v>
      </c>
      <c r="O11" s="108">
        <v>11.6495</v>
      </c>
      <c r="P11" s="108">
        <v>0.5655</v>
      </c>
      <c r="Q11" s="45">
        <f t="shared" si="1"/>
        <v>141.1</v>
      </c>
      <c r="R11" s="108">
        <v>135.4</v>
      </c>
      <c r="S11" s="108">
        <v>5.7</v>
      </c>
      <c r="T11" s="46">
        <f t="shared" si="2"/>
        <v>141.1</v>
      </c>
      <c r="U11" s="108">
        <v>135.4</v>
      </c>
      <c r="V11" s="108">
        <v>5.7</v>
      </c>
      <c r="W11" s="42" t="s">
        <v>33</v>
      </c>
      <c r="X11" s="42" t="s">
        <v>34</v>
      </c>
      <c r="Y11" s="42" t="s">
        <v>34</v>
      </c>
      <c r="Z11" s="28" t="s">
        <v>544</v>
      </c>
    </row>
    <row r="12" spans="1:26" s="26" customFormat="1" x14ac:dyDescent="0.25">
      <c r="A12" s="109" t="s">
        <v>23</v>
      </c>
      <c r="B12" s="21" t="s">
        <v>54</v>
      </c>
      <c r="C12" s="21" t="s">
        <v>25</v>
      </c>
      <c r="D12" s="21">
        <v>4</v>
      </c>
      <c r="E12" s="21"/>
      <c r="F12" s="110" t="s">
        <v>46</v>
      </c>
      <c r="G12" s="110" t="s">
        <v>55</v>
      </c>
      <c r="H12" s="21" t="s">
        <v>28</v>
      </c>
      <c r="I12" s="21" t="s">
        <v>29</v>
      </c>
      <c r="J12" s="22"/>
      <c r="K12" s="21" t="s">
        <v>30</v>
      </c>
      <c r="L12" s="21" t="s">
        <v>31</v>
      </c>
      <c r="M12" s="21" t="s">
        <v>32</v>
      </c>
      <c r="N12" s="23">
        <f t="shared" si="0"/>
        <v>17.123000000000001</v>
      </c>
      <c r="O12" s="24">
        <f>SUM(O8:O11)</f>
        <v>16.557500000000001</v>
      </c>
      <c r="P12" s="24">
        <f>SUM(P8:P11)</f>
        <v>0.5655</v>
      </c>
      <c r="Q12" s="23">
        <f t="shared" si="1"/>
        <v>200.83600000000001</v>
      </c>
      <c r="R12" s="24">
        <f>SUM(R8:R11)</f>
        <v>195.13600000000002</v>
      </c>
      <c r="S12" s="24">
        <f>SUM(S8:S11)</f>
        <v>5.7</v>
      </c>
      <c r="T12" s="25">
        <f t="shared" si="2"/>
        <v>192.74799999999999</v>
      </c>
      <c r="U12" s="24">
        <f>SUM(U8:U11)</f>
        <v>187.048</v>
      </c>
      <c r="V12" s="24">
        <f>SUM(V8:V11)</f>
        <v>5.7</v>
      </c>
      <c r="W12" s="21" t="s">
        <v>33</v>
      </c>
      <c r="X12" s="109" t="s">
        <v>44</v>
      </c>
      <c r="Y12" s="109" t="s">
        <v>44</v>
      </c>
      <c r="Z12" s="28" t="s">
        <v>544</v>
      </c>
    </row>
    <row r="13" spans="1:26" x14ac:dyDescent="0.25">
      <c r="A13" s="16" t="s">
        <v>23</v>
      </c>
      <c r="B13" s="16" t="s">
        <v>56</v>
      </c>
      <c r="C13" s="16" t="s">
        <v>25</v>
      </c>
      <c r="D13" s="16">
        <v>5</v>
      </c>
      <c r="E13" s="16">
        <v>1</v>
      </c>
      <c r="F13" s="27" t="s">
        <v>57</v>
      </c>
      <c r="G13" s="16" t="s">
        <v>58</v>
      </c>
      <c r="H13" s="16" t="s">
        <v>28</v>
      </c>
      <c r="I13" s="16" t="s">
        <v>29</v>
      </c>
      <c r="J13" s="17">
        <v>2011</v>
      </c>
      <c r="K13" s="16" t="s">
        <v>30</v>
      </c>
      <c r="L13" s="16" t="s">
        <v>31</v>
      </c>
      <c r="M13" s="16" t="s">
        <v>32</v>
      </c>
      <c r="N13" s="18">
        <f t="shared" si="0"/>
        <v>19.414999999999999</v>
      </c>
      <c r="O13" s="31">
        <v>19.414999999999999</v>
      </c>
      <c r="P13" s="31"/>
      <c r="Q13" s="18">
        <f t="shared" si="1"/>
        <v>242.69</v>
      </c>
      <c r="R13" s="31">
        <v>242.69</v>
      </c>
      <c r="S13" s="31"/>
      <c r="T13" s="19">
        <f t="shared" si="2"/>
        <v>161.81</v>
      </c>
      <c r="U13" s="31">
        <v>161.81</v>
      </c>
      <c r="V13" s="31"/>
      <c r="W13" s="27" t="s">
        <v>33</v>
      </c>
      <c r="X13" s="152" t="s">
        <v>34</v>
      </c>
      <c r="Y13" s="152" t="s">
        <v>34</v>
      </c>
      <c r="Z13" s="28" t="s">
        <v>544</v>
      </c>
    </row>
    <row r="14" spans="1:26" x14ac:dyDescent="0.25">
      <c r="A14" s="16" t="s">
        <v>59</v>
      </c>
      <c r="B14" s="16" t="s">
        <v>60</v>
      </c>
      <c r="C14" s="16" t="s">
        <v>61</v>
      </c>
      <c r="D14" s="16">
        <v>1</v>
      </c>
      <c r="E14" s="16">
        <v>1</v>
      </c>
      <c r="F14" s="16" t="s">
        <v>62</v>
      </c>
      <c r="G14" s="16" t="s">
        <v>63</v>
      </c>
      <c r="H14" s="16" t="s">
        <v>28</v>
      </c>
      <c r="I14" s="16" t="s">
        <v>29</v>
      </c>
      <c r="J14" s="17">
        <v>2008</v>
      </c>
      <c r="K14" s="16" t="s">
        <v>64</v>
      </c>
      <c r="L14" s="16"/>
      <c r="M14" s="16" t="s">
        <v>32</v>
      </c>
      <c r="N14" s="18">
        <f t="shared" si="0"/>
        <v>5.5149999999999997</v>
      </c>
      <c r="O14" s="20">
        <f>500*11.03/1000</f>
        <v>5.5149999999999997</v>
      </c>
      <c r="P14" s="20"/>
      <c r="Q14" s="18">
        <f t="shared" si="1"/>
        <v>220.6</v>
      </c>
      <c r="R14" s="20">
        <f>20*11.03</f>
        <v>220.6</v>
      </c>
      <c r="S14" s="20"/>
      <c r="T14" s="19">
        <f t="shared" si="2"/>
        <v>0</v>
      </c>
      <c r="U14" s="20"/>
      <c r="V14" s="20"/>
      <c r="W14" s="16"/>
      <c r="X14" s="152" t="s">
        <v>44</v>
      </c>
      <c r="Y14" s="152" t="s">
        <v>44</v>
      </c>
      <c r="Z14" s="28" t="s">
        <v>543</v>
      </c>
    </row>
    <row r="15" spans="1:26" x14ac:dyDescent="0.25">
      <c r="A15" s="16" t="s">
        <v>59</v>
      </c>
      <c r="B15" s="16" t="s">
        <v>65</v>
      </c>
      <c r="C15" s="16" t="s">
        <v>61</v>
      </c>
      <c r="D15" s="16">
        <v>1</v>
      </c>
      <c r="E15" s="16">
        <v>2</v>
      </c>
      <c r="F15" s="16" t="s">
        <v>62</v>
      </c>
      <c r="G15" s="16" t="s">
        <v>63</v>
      </c>
      <c r="H15" s="16" t="s">
        <v>66</v>
      </c>
      <c r="I15" s="16" t="s">
        <v>67</v>
      </c>
      <c r="J15" s="17">
        <v>2020</v>
      </c>
      <c r="K15" s="16" t="s">
        <v>64</v>
      </c>
      <c r="L15" s="16"/>
      <c r="M15" s="16" t="s">
        <v>32</v>
      </c>
      <c r="N15" s="18">
        <f t="shared" si="0"/>
        <v>5.5149999999999997</v>
      </c>
      <c r="O15" s="20">
        <f>500*11.03/1000</f>
        <v>5.5149999999999997</v>
      </c>
      <c r="P15" s="20"/>
      <c r="Q15" s="18">
        <f t="shared" si="1"/>
        <v>0</v>
      </c>
      <c r="R15" s="20"/>
      <c r="S15" s="20"/>
      <c r="T15" s="19">
        <f t="shared" si="2"/>
        <v>0</v>
      </c>
      <c r="U15" s="20"/>
      <c r="V15" s="20"/>
      <c r="W15" s="16"/>
      <c r="X15" s="152" t="s">
        <v>44</v>
      </c>
      <c r="Y15" s="152" t="s">
        <v>44</v>
      </c>
      <c r="Z15" s="28" t="s">
        <v>543</v>
      </c>
    </row>
    <row r="16" spans="1:26" x14ac:dyDescent="0.25">
      <c r="A16" s="16" t="s">
        <v>59</v>
      </c>
      <c r="B16" s="16" t="s">
        <v>68</v>
      </c>
      <c r="C16" s="16" t="s">
        <v>61</v>
      </c>
      <c r="D16" s="16">
        <v>1</v>
      </c>
      <c r="E16" s="16">
        <v>3</v>
      </c>
      <c r="F16" s="16" t="s">
        <v>62</v>
      </c>
      <c r="G16" s="16" t="s">
        <v>69</v>
      </c>
      <c r="H16" s="16" t="s">
        <v>28</v>
      </c>
      <c r="I16" s="16" t="s">
        <v>29</v>
      </c>
      <c r="J16" s="17">
        <v>1976</v>
      </c>
      <c r="K16" s="16" t="s">
        <v>70</v>
      </c>
      <c r="L16" s="16"/>
      <c r="M16" s="16" t="s">
        <v>32</v>
      </c>
      <c r="N16" s="18">
        <f t="shared" si="0"/>
        <v>3.3090000000000002</v>
      </c>
      <c r="O16" s="20">
        <f>300*11.03/1000</f>
        <v>3.3090000000000002</v>
      </c>
      <c r="P16" s="20"/>
      <c r="Q16" s="18">
        <f t="shared" si="1"/>
        <v>44.12</v>
      </c>
      <c r="R16" s="20">
        <f>4*11.03</f>
        <v>44.12</v>
      </c>
      <c r="S16" s="20"/>
      <c r="T16" s="19">
        <f t="shared" si="2"/>
        <v>0</v>
      </c>
      <c r="U16" s="20"/>
      <c r="V16" s="20"/>
      <c r="W16" s="16"/>
      <c r="X16" s="152" t="s">
        <v>44</v>
      </c>
      <c r="Y16" s="152" t="s">
        <v>44</v>
      </c>
      <c r="Z16" s="28" t="s">
        <v>543</v>
      </c>
    </row>
    <row r="17" spans="1:26" x14ac:dyDescent="0.25">
      <c r="A17" s="16" t="s">
        <v>59</v>
      </c>
      <c r="B17" s="16" t="s">
        <v>71</v>
      </c>
      <c r="C17" s="16" t="s">
        <v>61</v>
      </c>
      <c r="D17" s="16">
        <v>1</v>
      </c>
      <c r="E17" s="16">
        <v>4</v>
      </c>
      <c r="F17" s="16" t="s">
        <v>62</v>
      </c>
      <c r="G17" s="16" t="s">
        <v>72</v>
      </c>
      <c r="H17" s="16" t="s">
        <v>28</v>
      </c>
      <c r="I17" s="16" t="s">
        <v>29</v>
      </c>
      <c r="J17" s="17">
        <v>2000</v>
      </c>
      <c r="K17" s="16" t="s">
        <v>30</v>
      </c>
      <c r="L17" s="16" t="s">
        <v>31</v>
      </c>
      <c r="M17" s="16" t="s">
        <v>32</v>
      </c>
      <c r="N17" s="18">
        <f t="shared" si="0"/>
        <v>6.6180000000000003</v>
      </c>
      <c r="O17" s="20">
        <f>600*11.03/1000</f>
        <v>6.6180000000000003</v>
      </c>
      <c r="P17" s="20"/>
      <c r="Q17" s="18">
        <f t="shared" si="1"/>
        <v>52.943999999999996</v>
      </c>
      <c r="R17" s="20">
        <f>4.8*11.03</f>
        <v>52.943999999999996</v>
      </c>
      <c r="S17" s="20"/>
      <c r="T17" s="19">
        <f t="shared" si="2"/>
        <v>0</v>
      </c>
      <c r="U17" s="20"/>
      <c r="V17" s="20"/>
      <c r="W17" s="16"/>
      <c r="X17" s="152" t="s">
        <v>44</v>
      </c>
      <c r="Y17" s="152" t="s">
        <v>44</v>
      </c>
      <c r="Z17" s="28" t="s">
        <v>543</v>
      </c>
    </row>
    <row r="18" spans="1:26" x14ac:dyDescent="0.25">
      <c r="A18" s="16" t="s">
        <v>73</v>
      </c>
      <c r="B18" s="16" t="s">
        <v>74</v>
      </c>
      <c r="C18" s="16" t="s">
        <v>75</v>
      </c>
      <c r="D18" s="16">
        <v>1</v>
      </c>
      <c r="E18" s="16">
        <v>1</v>
      </c>
      <c r="F18" s="16" t="s">
        <v>76</v>
      </c>
      <c r="G18" s="16" t="s">
        <v>77</v>
      </c>
      <c r="H18" s="16" t="s">
        <v>28</v>
      </c>
      <c r="I18" s="16" t="s">
        <v>29</v>
      </c>
      <c r="J18" s="17">
        <v>1985</v>
      </c>
      <c r="K18" s="16" t="s">
        <v>70</v>
      </c>
      <c r="L18" s="16"/>
      <c r="M18" s="16" t="s">
        <v>32</v>
      </c>
      <c r="N18" s="18">
        <f t="shared" si="0"/>
        <v>9.0013000000000005</v>
      </c>
      <c r="O18" s="20">
        <v>9.0013000000000005</v>
      </c>
      <c r="P18" s="20"/>
      <c r="Q18" s="18">
        <f t="shared" si="1"/>
        <v>169.5</v>
      </c>
      <c r="R18" s="20">
        <v>169.5</v>
      </c>
      <c r="S18" s="20"/>
      <c r="T18" s="19">
        <f t="shared" si="2"/>
        <v>88.14</v>
      </c>
      <c r="U18" s="20">
        <v>88.14</v>
      </c>
      <c r="V18" s="20"/>
      <c r="W18" s="16" t="s">
        <v>78</v>
      </c>
      <c r="X18" s="152" t="s">
        <v>34</v>
      </c>
      <c r="Y18" s="152" t="s">
        <v>34</v>
      </c>
      <c r="Z18" s="28" t="s">
        <v>544</v>
      </c>
    </row>
    <row r="19" spans="1:26" s="30" customFormat="1" x14ac:dyDescent="0.25">
      <c r="A19" s="16" t="s">
        <v>79</v>
      </c>
      <c r="B19" s="16" t="s">
        <v>80</v>
      </c>
      <c r="C19" s="16" t="s">
        <v>81</v>
      </c>
      <c r="D19" s="16">
        <v>1</v>
      </c>
      <c r="E19" s="16">
        <v>1</v>
      </c>
      <c r="F19" s="16" t="s">
        <v>82</v>
      </c>
      <c r="G19" s="16" t="s">
        <v>83</v>
      </c>
      <c r="H19" s="16" t="s">
        <v>28</v>
      </c>
      <c r="I19" s="16" t="s">
        <v>29</v>
      </c>
      <c r="J19" s="17">
        <v>1974</v>
      </c>
      <c r="K19" s="16" t="s">
        <v>30</v>
      </c>
      <c r="L19" s="16" t="s">
        <v>31</v>
      </c>
      <c r="M19" s="16" t="s">
        <v>32</v>
      </c>
      <c r="N19" s="28">
        <f t="shared" si="0"/>
        <v>6.27</v>
      </c>
      <c r="O19" s="20">
        <v>6.27</v>
      </c>
      <c r="P19" s="20"/>
      <c r="Q19" s="28">
        <f t="shared" si="1"/>
        <v>36.200000000000003</v>
      </c>
      <c r="R19" s="20">
        <v>36.200000000000003</v>
      </c>
      <c r="S19" s="20"/>
      <c r="T19" s="29">
        <f t="shared" si="2"/>
        <v>34.1</v>
      </c>
      <c r="U19" s="20">
        <v>34.1</v>
      </c>
      <c r="V19" s="20"/>
      <c r="W19" s="16" t="s">
        <v>78</v>
      </c>
      <c r="X19" s="152" t="s">
        <v>34</v>
      </c>
      <c r="Y19" s="152" t="s">
        <v>34</v>
      </c>
      <c r="Z19" s="28" t="s">
        <v>544</v>
      </c>
    </row>
    <row r="20" spans="1:26" s="30" customFormat="1" x14ac:dyDescent="0.25">
      <c r="A20" s="16" t="str">
        <f>A19</f>
        <v>Bulgaria</v>
      </c>
      <c r="B20" s="16" t="s">
        <v>84</v>
      </c>
      <c r="C20" s="16" t="s">
        <v>81</v>
      </c>
      <c r="D20" s="16">
        <v>1</v>
      </c>
      <c r="E20" s="16">
        <v>2</v>
      </c>
      <c r="F20" s="16" t="str">
        <f>F19</f>
        <v>Bulgartransgaz</v>
      </c>
      <c r="G20" s="16" t="str">
        <f>G19</f>
        <v>Chiren</v>
      </c>
      <c r="H20" s="16" t="s">
        <v>85</v>
      </c>
      <c r="I20" s="16" t="s">
        <v>67</v>
      </c>
      <c r="J20" s="17">
        <v>2022</v>
      </c>
      <c r="K20" s="16" t="str">
        <f>K19</f>
        <v>Depleted field</v>
      </c>
      <c r="L20" s="16" t="str">
        <f>L19</f>
        <v>Gas</v>
      </c>
      <c r="M20" s="16" t="str">
        <f>M19</f>
        <v>Onshore</v>
      </c>
      <c r="N20" s="28">
        <f t="shared" si="0"/>
        <v>11.42</v>
      </c>
      <c r="O20" s="20">
        <v>11.42</v>
      </c>
      <c r="P20" s="20"/>
      <c r="Q20" s="28">
        <f t="shared" si="1"/>
        <v>114.2</v>
      </c>
      <c r="R20" s="20">
        <v>114.2</v>
      </c>
      <c r="S20" s="20"/>
      <c r="T20" s="29">
        <f t="shared" si="2"/>
        <v>91.36</v>
      </c>
      <c r="U20" s="20">
        <v>91.36</v>
      </c>
      <c r="V20" s="20"/>
      <c r="W20" s="16" t="s">
        <v>78</v>
      </c>
      <c r="X20" s="152" t="s">
        <v>34</v>
      </c>
      <c r="Y20" s="152" t="s">
        <v>34</v>
      </c>
      <c r="Z20" s="28" t="s">
        <v>544</v>
      </c>
    </row>
    <row r="21" spans="1:26" x14ac:dyDescent="0.25">
      <c r="A21" s="16" t="s">
        <v>86</v>
      </c>
      <c r="B21" s="16" t="s">
        <v>87</v>
      </c>
      <c r="C21" s="16" t="s">
        <v>88</v>
      </c>
      <c r="D21" s="16">
        <v>1</v>
      </c>
      <c r="E21" s="16">
        <v>1</v>
      </c>
      <c r="F21" s="16" t="s">
        <v>89</v>
      </c>
      <c r="G21" s="16" t="s">
        <v>90</v>
      </c>
      <c r="H21" s="16" t="s">
        <v>28</v>
      </c>
      <c r="I21" s="16" t="s">
        <v>29</v>
      </c>
      <c r="J21" s="17">
        <v>1988</v>
      </c>
      <c r="K21" s="16" t="s">
        <v>30</v>
      </c>
      <c r="L21" s="16" t="s">
        <v>91</v>
      </c>
      <c r="M21" s="16" t="s">
        <v>32</v>
      </c>
      <c r="N21" s="18">
        <f t="shared" si="0"/>
        <v>5.8148999999999997</v>
      </c>
      <c r="O21" s="20">
        <v>5.6048999999999998</v>
      </c>
      <c r="P21" s="20">
        <v>0.21</v>
      </c>
      <c r="Q21" s="18">
        <f t="shared" si="1"/>
        <v>60.57</v>
      </c>
      <c r="R21" s="20">
        <v>60.57</v>
      </c>
      <c r="S21" s="20"/>
      <c r="T21" s="19">
        <f t="shared" si="2"/>
        <v>45.43</v>
      </c>
      <c r="U21" s="20">
        <v>45.43</v>
      </c>
      <c r="V21" s="20"/>
      <c r="W21" s="16" t="s">
        <v>78</v>
      </c>
      <c r="X21" s="152" t="s">
        <v>34</v>
      </c>
      <c r="Y21" s="152" t="s">
        <v>34</v>
      </c>
      <c r="Z21" s="28" t="s">
        <v>544</v>
      </c>
    </row>
    <row r="22" spans="1:26" x14ac:dyDescent="0.25">
      <c r="A22" s="16" t="s">
        <v>86</v>
      </c>
      <c r="B22" s="16" t="s">
        <v>92</v>
      </c>
      <c r="C22" s="16" t="s">
        <v>88</v>
      </c>
      <c r="D22" s="16">
        <v>1</v>
      </c>
      <c r="E22" s="16">
        <v>2</v>
      </c>
      <c r="F22" s="16" t="s">
        <v>89</v>
      </c>
      <c r="G22" s="16" t="s">
        <v>93</v>
      </c>
      <c r="H22" s="16" t="s">
        <v>85</v>
      </c>
      <c r="I22" s="16" t="s">
        <v>94</v>
      </c>
      <c r="J22" s="17">
        <v>2022</v>
      </c>
      <c r="K22" s="16" t="s">
        <v>30</v>
      </c>
      <c r="L22" s="16" t="s">
        <v>31</v>
      </c>
      <c r="M22" s="16" t="s">
        <v>32</v>
      </c>
      <c r="N22" s="18">
        <f t="shared" si="0"/>
        <v>0.6</v>
      </c>
      <c r="O22" s="20">
        <v>0.6</v>
      </c>
      <c r="P22" s="20"/>
      <c r="Q22" s="18">
        <f t="shared" si="1"/>
        <v>22</v>
      </c>
      <c r="R22" s="20">
        <v>22</v>
      </c>
      <c r="S22" s="20"/>
      <c r="T22" s="19">
        <f t="shared" si="2"/>
        <v>15</v>
      </c>
      <c r="U22" s="20">
        <v>15</v>
      </c>
      <c r="V22" s="20"/>
      <c r="W22" s="16" t="s">
        <v>78</v>
      </c>
      <c r="X22" s="152" t="s">
        <v>34</v>
      </c>
      <c r="Y22" s="152" t="s">
        <v>34</v>
      </c>
      <c r="Z22" s="28" t="s">
        <v>544</v>
      </c>
    </row>
    <row r="23" spans="1:26" x14ac:dyDescent="0.25">
      <c r="A23" s="42" t="s">
        <v>95</v>
      </c>
      <c r="B23" s="42" t="s">
        <v>96</v>
      </c>
      <c r="C23" s="42" t="s">
        <v>97</v>
      </c>
      <c r="D23" s="42">
        <v>1</v>
      </c>
      <c r="E23" s="42">
        <v>1</v>
      </c>
      <c r="F23" s="42" t="s">
        <v>98</v>
      </c>
      <c r="G23" s="42" t="s">
        <v>99</v>
      </c>
      <c r="H23" s="42" t="s">
        <v>28</v>
      </c>
      <c r="I23" s="42" t="s">
        <v>29</v>
      </c>
      <c r="J23" s="43">
        <v>1989</v>
      </c>
      <c r="K23" s="42" t="s">
        <v>30</v>
      </c>
      <c r="L23" s="42" t="s">
        <v>31</v>
      </c>
      <c r="M23" s="42" t="s">
        <v>32</v>
      </c>
      <c r="N23" s="45">
        <f t="shared" si="0"/>
        <v>0</v>
      </c>
      <c r="O23" s="108"/>
      <c r="P23" s="108"/>
      <c r="Q23" s="45">
        <f t="shared" si="1"/>
        <v>0</v>
      </c>
      <c r="R23" s="108"/>
      <c r="S23" s="108"/>
      <c r="T23" s="46">
        <f t="shared" si="2"/>
        <v>0</v>
      </c>
      <c r="U23" s="108"/>
      <c r="V23" s="108"/>
      <c r="W23" s="42" t="s">
        <v>33</v>
      </c>
      <c r="X23" s="42" t="s">
        <v>34</v>
      </c>
      <c r="Y23" s="42" t="s">
        <v>44</v>
      </c>
      <c r="Z23" s="28" t="s">
        <v>544</v>
      </c>
    </row>
    <row r="24" spans="1:26" x14ac:dyDescent="0.25">
      <c r="A24" s="42" t="s">
        <v>95</v>
      </c>
      <c r="B24" s="42" t="s">
        <v>100</v>
      </c>
      <c r="C24" s="42" t="s">
        <v>97</v>
      </c>
      <c r="D24" s="42">
        <v>1</v>
      </c>
      <c r="E24" s="42">
        <v>2</v>
      </c>
      <c r="F24" s="42" t="s">
        <v>98</v>
      </c>
      <c r="G24" s="42" t="s">
        <v>101</v>
      </c>
      <c r="H24" s="42" t="s">
        <v>28</v>
      </c>
      <c r="I24" s="42" t="s">
        <v>29</v>
      </c>
      <c r="J24" s="43">
        <v>1998</v>
      </c>
      <c r="K24" s="42" t="s">
        <v>539</v>
      </c>
      <c r="L24" s="42" t="s">
        <v>539</v>
      </c>
      <c r="M24" s="42" t="s">
        <v>32</v>
      </c>
      <c r="N24" s="45">
        <f t="shared" si="0"/>
        <v>0</v>
      </c>
      <c r="O24" s="108"/>
      <c r="P24" s="108"/>
      <c r="Q24" s="45">
        <f t="shared" si="1"/>
        <v>0</v>
      </c>
      <c r="R24" s="108"/>
      <c r="S24" s="108"/>
      <c r="T24" s="46">
        <f t="shared" si="2"/>
        <v>0</v>
      </c>
      <c r="U24" s="108"/>
      <c r="V24" s="108"/>
      <c r="W24" s="42" t="s">
        <v>33</v>
      </c>
      <c r="X24" s="42" t="s">
        <v>34</v>
      </c>
      <c r="Y24" s="42" t="s">
        <v>44</v>
      </c>
      <c r="Z24" s="28" t="s">
        <v>544</v>
      </c>
    </row>
    <row r="25" spans="1:26" x14ac:dyDescent="0.25">
      <c r="A25" s="42" t="s">
        <v>95</v>
      </c>
      <c r="B25" s="42" t="s">
        <v>104</v>
      </c>
      <c r="C25" s="42" t="s">
        <v>97</v>
      </c>
      <c r="D25" s="42">
        <v>1</v>
      </c>
      <c r="E25" s="42">
        <v>3</v>
      </c>
      <c r="F25" s="42" t="s">
        <v>98</v>
      </c>
      <c r="G25" s="42" t="s">
        <v>105</v>
      </c>
      <c r="H25" s="42" t="s">
        <v>28</v>
      </c>
      <c r="I25" s="42" t="s">
        <v>29</v>
      </c>
      <c r="J25" s="43">
        <v>1965</v>
      </c>
      <c r="K25" s="42" t="s">
        <v>70</v>
      </c>
      <c r="L25" s="42"/>
      <c r="M25" s="42" t="s">
        <v>32</v>
      </c>
      <c r="N25" s="45">
        <f t="shared" si="0"/>
        <v>0</v>
      </c>
      <c r="O25" s="108"/>
      <c r="P25" s="108"/>
      <c r="Q25" s="45">
        <f t="shared" si="1"/>
        <v>0</v>
      </c>
      <c r="R25" s="108"/>
      <c r="S25" s="108"/>
      <c r="T25" s="46">
        <f t="shared" si="2"/>
        <v>0</v>
      </c>
      <c r="U25" s="108"/>
      <c r="V25" s="108"/>
      <c r="W25" s="42" t="s">
        <v>33</v>
      </c>
      <c r="X25" s="42" t="s">
        <v>34</v>
      </c>
      <c r="Y25" s="42" t="s">
        <v>44</v>
      </c>
      <c r="Z25" s="28" t="s">
        <v>544</v>
      </c>
    </row>
    <row r="26" spans="1:26" x14ac:dyDescent="0.25">
      <c r="A26" s="42" t="s">
        <v>95</v>
      </c>
      <c r="B26" s="42" t="s">
        <v>106</v>
      </c>
      <c r="C26" s="42" t="s">
        <v>97</v>
      </c>
      <c r="D26" s="42">
        <v>1</v>
      </c>
      <c r="E26" s="42">
        <v>4</v>
      </c>
      <c r="F26" s="42" t="s">
        <v>98</v>
      </c>
      <c r="G26" s="42" t="s">
        <v>107</v>
      </c>
      <c r="H26" s="42" t="s">
        <v>28</v>
      </c>
      <c r="I26" s="42" t="s">
        <v>29</v>
      </c>
      <c r="J26" s="43">
        <v>1983</v>
      </c>
      <c r="K26" s="42" t="s">
        <v>30</v>
      </c>
      <c r="L26" s="42" t="s">
        <v>31</v>
      </c>
      <c r="M26" s="42" t="s">
        <v>32</v>
      </c>
      <c r="N26" s="45">
        <f t="shared" si="0"/>
        <v>0</v>
      </c>
      <c r="O26" s="108"/>
      <c r="P26" s="108"/>
      <c r="Q26" s="45">
        <f t="shared" si="1"/>
        <v>0</v>
      </c>
      <c r="R26" s="108"/>
      <c r="S26" s="108"/>
      <c r="T26" s="46">
        <f t="shared" si="2"/>
        <v>0</v>
      </c>
      <c r="U26" s="108"/>
      <c r="V26" s="108"/>
      <c r="W26" s="42" t="s">
        <v>33</v>
      </c>
      <c r="X26" s="42" t="s">
        <v>34</v>
      </c>
      <c r="Y26" s="42" t="s">
        <v>44</v>
      </c>
      <c r="Z26" s="28" t="s">
        <v>544</v>
      </c>
    </row>
    <row r="27" spans="1:26" x14ac:dyDescent="0.25">
      <c r="A27" s="42" t="s">
        <v>95</v>
      </c>
      <c r="B27" s="42" t="s">
        <v>108</v>
      </c>
      <c r="C27" s="42" t="s">
        <v>97</v>
      </c>
      <c r="D27" s="42">
        <v>1</v>
      </c>
      <c r="E27" s="42">
        <v>5</v>
      </c>
      <c r="F27" s="42" t="s">
        <v>98</v>
      </c>
      <c r="G27" s="42" t="s">
        <v>109</v>
      </c>
      <c r="H27" s="42" t="s">
        <v>28</v>
      </c>
      <c r="I27" s="42" t="s">
        <v>29</v>
      </c>
      <c r="J27" s="43">
        <v>2000</v>
      </c>
      <c r="K27" s="42" t="s">
        <v>30</v>
      </c>
      <c r="L27" s="42" t="s">
        <v>31</v>
      </c>
      <c r="M27" s="42" t="s">
        <v>32</v>
      </c>
      <c r="N27" s="45">
        <f t="shared" si="0"/>
        <v>0</v>
      </c>
      <c r="O27" s="108"/>
      <c r="P27" s="108"/>
      <c r="Q27" s="45">
        <f t="shared" si="1"/>
        <v>0</v>
      </c>
      <c r="R27" s="108"/>
      <c r="S27" s="108"/>
      <c r="T27" s="46">
        <f t="shared" si="2"/>
        <v>0</v>
      </c>
      <c r="U27" s="108"/>
      <c r="V27" s="108"/>
      <c r="W27" s="42" t="s">
        <v>33</v>
      </c>
      <c r="X27" s="42" t="s">
        <v>34</v>
      </c>
      <c r="Y27" s="42" t="s">
        <v>44</v>
      </c>
      <c r="Z27" s="28" t="s">
        <v>544</v>
      </c>
    </row>
    <row r="28" spans="1:26" x14ac:dyDescent="0.25">
      <c r="A28" s="42" t="s">
        <v>95</v>
      </c>
      <c r="B28" s="42" t="s">
        <v>110</v>
      </c>
      <c r="C28" s="42" t="s">
        <v>97</v>
      </c>
      <c r="D28" s="42">
        <v>1</v>
      </c>
      <c r="E28" s="42">
        <v>6</v>
      </c>
      <c r="F28" s="42" t="s">
        <v>98</v>
      </c>
      <c r="G28" s="42" t="s">
        <v>111</v>
      </c>
      <c r="H28" s="42" t="s">
        <v>28</v>
      </c>
      <c r="I28" s="42" t="s">
        <v>29</v>
      </c>
      <c r="J28" s="43">
        <v>1975</v>
      </c>
      <c r="K28" s="42" t="s">
        <v>30</v>
      </c>
      <c r="L28" s="42" t="s">
        <v>31</v>
      </c>
      <c r="M28" s="42" t="s">
        <v>32</v>
      </c>
      <c r="N28" s="45">
        <f t="shared" si="0"/>
        <v>0</v>
      </c>
      <c r="O28" s="108"/>
      <c r="P28" s="108"/>
      <c r="Q28" s="45">
        <f t="shared" si="1"/>
        <v>0</v>
      </c>
      <c r="R28" s="108"/>
      <c r="S28" s="108"/>
      <c r="T28" s="46">
        <f t="shared" si="2"/>
        <v>0</v>
      </c>
      <c r="U28" s="108"/>
      <c r="V28" s="108"/>
      <c r="W28" s="42" t="s">
        <v>33</v>
      </c>
      <c r="X28" s="42" t="s">
        <v>34</v>
      </c>
      <c r="Y28" s="42" t="s">
        <v>44</v>
      </c>
      <c r="Z28" s="28" t="s">
        <v>544</v>
      </c>
    </row>
    <row r="29" spans="1:26" s="26" customFormat="1" x14ac:dyDescent="0.25">
      <c r="A29" s="109" t="s">
        <v>95</v>
      </c>
      <c r="B29" s="21" t="s">
        <v>112</v>
      </c>
      <c r="C29" s="21" t="s">
        <v>97</v>
      </c>
      <c r="D29" s="21">
        <v>1</v>
      </c>
      <c r="E29" s="21"/>
      <c r="F29" s="110" t="s">
        <v>98</v>
      </c>
      <c r="G29" s="110" t="s">
        <v>113</v>
      </c>
      <c r="H29" s="21" t="s">
        <v>28</v>
      </c>
      <c r="I29" s="21" t="s">
        <v>29</v>
      </c>
      <c r="J29" s="22"/>
      <c r="K29" s="21" t="s">
        <v>102</v>
      </c>
      <c r="L29" s="21"/>
      <c r="M29" s="21"/>
      <c r="N29" s="23">
        <f t="shared" si="0"/>
        <v>28.714600000000001</v>
      </c>
      <c r="O29" s="24">
        <v>28.714600000000001</v>
      </c>
      <c r="P29" s="24"/>
      <c r="Q29" s="23">
        <f t="shared" si="1"/>
        <v>422.29</v>
      </c>
      <c r="R29" s="24">
        <v>422.29</v>
      </c>
      <c r="S29" s="24"/>
      <c r="T29" s="25">
        <f t="shared" si="2"/>
        <v>315.5</v>
      </c>
      <c r="U29" s="24">
        <v>315.5</v>
      </c>
      <c r="V29" s="24"/>
      <c r="W29" s="21" t="s">
        <v>33</v>
      </c>
      <c r="X29" s="109" t="s">
        <v>44</v>
      </c>
      <c r="Y29" s="109" t="s">
        <v>34</v>
      </c>
      <c r="Z29" s="28" t="s">
        <v>544</v>
      </c>
    </row>
    <row r="30" spans="1:26" x14ac:dyDescent="0.25">
      <c r="A30" s="16" t="s">
        <v>95</v>
      </c>
      <c r="B30" s="16" t="s">
        <v>114</v>
      </c>
      <c r="C30" s="16" t="s">
        <v>97</v>
      </c>
      <c r="D30" s="16">
        <v>2</v>
      </c>
      <c r="E30" s="16">
        <v>1</v>
      </c>
      <c r="F30" s="16" t="s">
        <v>115</v>
      </c>
      <c r="G30" s="16" t="s">
        <v>116</v>
      </c>
      <c r="H30" s="16" t="s">
        <v>28</v>
      </c>
      <c r="I30" s="16" t="s">
        <v>29</v>
      </c>
      <c r="J30" s="17">
        <v>2001</v>
      </c>
      <c r="K30" s="16" t="s">
        <v>30</v>
      </c>
      <c r="L30" s="16" t="s">
        <v>117</v>
      </c>
      <c r="M30" s="16" t="s">
        <v>32</v>
      </c>
      <c r="N30" s="18">
        <f t="shared" si="0"/>
        <v>3.08</v>
      </c>
      <c r="O30" s="20">
        <f>280*11/1000</f>
        <v>3.08</v>
      </c>
      <c r="P30" s="20"/>
      <c r="Q30" s="18">
        <f t="shared" si="1"/>
        <v>107.20699999999999</v>
      </c>
      <c r="R30" s="20">
        <v>107.20699999999999</v>
      </c>
      <c r="S30" s="20"/>
      <c r="T30" s="19">
        <f t="shared" si="2"/>
        <v>57.665999999999997</v>
      </c>
      <c r="U30" s="20">
        <v>57.665999999999997</v>
      </c>
      <c r="V30" s="20"/>
      <c r="W30" s="16" t="s">
        <v>33</v>
      </c>
      <c r="X30" s="152" t="s">
        <v>34</v>
      </c>
      <c r="Y30" s="152" t="s">
        <v>34</v>
      </c>
      <c r="Z30" s="28" t="s">
        <v>544</v>
      </c>
    </row>
    <row r="31" spans="1:26" x14ac:dyDescent="0.25">
      <c r="A31" s="16" t="s">
        <v>95</v>
      </c>
      <c r="B31" s="16" t="s">
        <v>118</v>
      </c>
      <c r="C31" s="16" t="s">
        <v>97</v>
      </c>
      <c r="D31" s="16">
        <v>3</v>
      </c>
      <c r="E31" s="16">
        <v>1</v>
      </c>
      <c r="F31" s="16" t="s">
        <v>119</v>
      </c>
      <c r="G31" s="16" t="s">
        <v>120</v>
      </c>
      <c r="H31" s="16" t="s">
        <v>28</v>
      </c>
      <c r="I31" s="16" t="s">
        <v>29</v>
      </c>
      <c r="J31" s="17">
        <v>2016</v>
      </c>
      <c r="K31" s="16" t="s">
        <v>30</v>
      </c>
      <c r="L31" s="16" t="s">
        <v>91</v>
      </c>
      <c r="M31" s="16" t="s">
        <v>32</v>
      </c>
      <c r="N31" s="18">
        <f t="shared" si="0"/>
        <v>2.6066350710900474</v>
      </c>
      <c r="O31" s="20">
        <f>250/1.055*11/1000</f>
        <v>2.6066350710900474</v>
      </c>
      <c r="P31" s="20"/>
      <c r="Q31" s="18">
        <f t="shared" si="1"/>
        <v>78.199052132701425</v>
      </c>
      <c r="R31" s="20">
        <f>7.5/1.055*11</f>
        <v>78.199052132701425</v>
      </c>
      <c r="S31" s="20"/>
      <c r="T31" s="19">
        <f t="shared" si="2"/>
        <v>46.919431279620852</v>
      </c>
      <c r="U31" s="20">
        <f>4.5/1.055*11</f>
        <v>46.919431279620852</v>
      </c>
      <c r="V31" s="20"/>
      <c r="W31" s="16" t="s">
        <v>33</v>
      </c>
      <c r="X31" s="152" t="s">
        <v>34</v>
      </c>
      <c r="Y31" s="152" t="s">
        <v>34</v>
      </c>
      <c r="Z31" s="28" t="s">
        <v>544</v>
      </c>
    </row>
    <row r="32" spans="1:26" x14ac:dyDescent="0.25">
      <c r="A32" s="16" t="s">
        <v>95</v>
      </c>
      <c r="B32" s="16" t="s">
        <v>121</v>
      </c>
      <c r="C32" s="16" t="s">
        <v>97</v>
      </c>
      <c r="D32" s="16">
        <v>3</v>
      </c>
      <c r="E32" s="16">
        <v>2</v>
      </c>
      <c r="F32" s="16" t="s">
        <v>119</v>
      </c>
      <c r="G32" s="16" t="s">
        <v>120</v>
      </c>
      <c r="H32" s="16" t="s">
        <v>66</v>
      </c>
      <c r="I32" s="16" t="s">
        <v>67</v>
      </c>
      <c r="J32" s="17">
        <v>2019</v>
      </c>
      <c r="K32" s="16" t="s">
        <v>30</v>
      </c>
      <c r="L32" s="16" t="s">
        <v>91</v>
      </c>
      <c r="M32" s="16" t="s">
        <v>32</v>
      </c>
      <c r="N32" s="18">
        <f t="shared" si="0"/>
        <v>0.50047393364928916</v>
      </c>
      <c r="O32" s="20">
        <f>48/1.055*11/1000</f>
        <v>0.50047393364928916</v>
      </c>
      <c r="P32" s="20"/>
      <c r="Q32" s="18">
        <f t="shared" si="1"/>
        <v>0</v>
      </c>
      <c r="R32" s="20">
        <v>0</v>
      </c>
      <c r="S32" s="20"/>
      <c r="T32" s="19">
        <f t="shared" si="2"/>
        <v>0</v>
      </c>
      <c r="U32" s="20">
        <v>0</v>
      </c>
      <c r="V32" s="20"/>
      <c r="W32" s="16" t="s">
        <v>33</v>
      </c>
      <c r="X32" s="152" t="s">
        <v>34</v>
      </c>
      <c r="Y32" s="152" t="s">
        <v>34</v>
      </c>
      <c r="Z32" s="28" t="s">
        <v>544</v>
      </c>
    </row>
    <row r="33" spans="1:26" ht="15" customHeight="1" x14ac:dyDescent="0.25">
      <c r="A33" s="16" t="s">
        <v>95</v>
      </c>
      <c r="B33" s="16" t="s">
        <v>122</v>
      </c>
      <c r="C33" s="16" t="s">
        <v>97</v>
      </c>
      <c r="D33" s="16">
        <v>3</v>
      </c>
      <c r="E33" s="16">
        <v>3</v>
      </c>
      <c r="F33" s="16" t="s">
        <v>119</v>
      </c>
      <c r="G33" s="16" t="s">
        <v>120</v>
      </c>
      <c r="H33" s="16" t="s">
        <v>66</v>
      </c>
      <c r="I33" s="16" t="s">
        <v>67</v>
      </c>
      <c r="J33" s="17">
        <v>2020</v>
      </c>
      <c r="K33" s="16" t="s">
        <v>30</v>
      </c>
      <c r="L33" s="16" t="s">
        <v>91</v>
      </c>
      <c r="M33" s="16" t="s">
        <v>32</v>
      </c>
      <c r="N33" s="18">
        <f t="shared" si="0"/>
        <v>0.17725118483412322</v>
      </c>
      <c r="O33" s="20">
        <f>17/1.055*11/1000</f>
        <v>0.17725118483412322</v>
      </c>
      <c r="P33" s="20"/>
      <c r="Q33" s="18">
        <f t="shared" si="1"/>
        <v>0</v>
      </c>
      <c r="R33" s="20">
        <v>0</v>
      </c>
      <c r="S33" s="20"/>
      <c r="T33" s="19">
        <f t="shared" si="2"/>
        <v>0</v>
      </c>
      <c r="U33" s="20">
        <v>0</v>
      </c>
      <c r="V33" s="20"/>
      <c r="W33" s="16" t="s">
        <v>33</v>
      </c>
      <c r="X33" s="152" t="s">
        <v>34</v>
      </c>
      <c r="Y33" s="152" t="s">
        <v>34</v>
      </c>
      <c r="Z33" s="28" t="s">
        <v>544</v>
      </c>
    </row>
    <row r="34" spans="1:26" ht="15" customHeight="1" x14ac:dyDescent="0.25">
      <c r="A34" s="16" t="s">
        <v>95</v>
      </c>
      <c r="B34" s="16" t="s">
        <v>123</v>
      </c>
      <c r="C34" s="16" t="s">
        <v>97</v>
      </c>
      <c r="D34" s="16">
        <v>3</v>
      </c>
      <c r="E34" s="16">
        <v>4</v>
      </c>
      <c r="F34" s="16" t="s">
        <v>119</v>
      </c>
      <c r="G34" s="16" t="s">
        <v>120</v>
      </c>
      <c r="H34" s="16" t="s">
        <v>66</v>
      </c>
      <c r="I34" s="16" t="s">
        <v>67</v>
      </c>
      <c r="J34" s="17">
        <v>2021</v>
      </c>
      <c r="K34" s="16" t="s">
        <v>30</v>
      </c>
      <c r="L34" s="16" t="s">
        <v>91</v>
      </c>
      <c r="M34" s="16" t="s">
        <v>32</v>
      </c>
      <c r="N34" s="18">
        <f t="shared" si="0"/>
        <v>1.3867298578199052</v>
      </c>
      <c r="O34" s="20">
        <f>(448-315)/1.055*11/1000</f>
        <v>1.3867298578199052</v>
      </c>
      <c r="P34" s="20"/>
      <c r="Q34" s="18">
        <f t="shared" si="1"/>
        <v>0</v>
      </c>
      <c r="R34" s="20">
        <v>0</v>
      </c>
      <c r="S34" s="20"/>
      <c r="T34" s="19">
        <f t="shared" si="2"/>
        <v>0</v>
      </c>
      <c r="U34" s="20">
        <v>0</v>
      </c>
      <c r="V34" s="20"/>
      <c r="W34" s="16" t="s">
        <v>33</v>
      </c>
      <c r="X34" s="152" t="s">
        <v>34</v>
      </c>
      <c r="Y34" s="152" t="s">
        <v>34</v>
      </c>
      <c r="Z34" s="28" t="s">
        <v>544</v>
      </c>
    </row>
    <row r="35" spans="1:26" ht="15" customHeight="1" x14ac:dyDescent="0.25">
      <c r="A35" s="16" t="s">
        <v>95</v>
      </c>
      <c r="B35" s="16" t="s">
        <v>124</v>
      </c>
      <c r="C35" s="16" t="s">
        <v>97</v>
      </c>
      <c r="D35" s="16">
        <v>4</v>
      </c>
      <c r="E35" s="16">
        <v>1</v>
      </c>
      <c r="F35" s="16" t="s">
        <v>125</v>
      </c>
      <c r="G35" s="16" t="s">
        <v>126</v>
      </c>
      <c r="H35" s="16" t="s">
        <v>28</v>
      </c>
      <c r="I35" s="16" t="s">
        <v>29</v>
      </c>
      <c r="J35" s="17">
        <v>1999</v>
      </c>
      <c r="K35" s="16" t="s">
        <v>30</v>
      </c>
      <c r="L35" s="16" t="s">
        <v>117</v>
      </c>
      <c r="M35" s="16" t="s">
        <v>32</v>
      </c>
      <c r="N35" s="18">
        <f t="shared" si="0"/>
        <v>6.117</v>
      </c>
      <c r="O35" s="20">
        <v>6.117</v>
      </c>
      <c r="P35" s="20"/>
      <c r="Q35" s="18">
        <f t="shared" si="1"/>
        <v>95.58</v>
      </c>
      <c r="R35" s="20">
        <v>95.58</v>
      </c>
      <c r="S35" s="20"/>
      <c r="T35" s="19">
        <f t="shared" si="2"/>
        <v>74.34</v>
      </c>
      <c r="U35" s="20">
        <v>74.34</v>
      </c>
      <c r="V35" s="20"/>
      <c r="W35" s="16" t="s">
        <v>33</v>
      </c>
      <c r="X35" s="152" t="s">
        <v>34</v>
      </c>
      <c r="Y35" s="152" t="s">
        <v>34</v>
      </c>
      <c r="Z35" s="28" t="s">
        <v>544</v>
      </c>
    </row>
    <row r="36" spans="1:26" ht="15" customHeight="1" x14ac:dyDescent="0.25">
      <c r="A36" s="42" t="s">
        <v>127</v>
      </c>
      <c r="B36" s="42" t="s">
        <v>128</v>
      </c>
      <c r="C36" s="42" t="s">
        <v>129</v>
      </c>
      <c r="D36" s="42">
        <v>1</v>
      </c>
      <c r="E36" s="42">
        <v>1</v>
      </c>
      <c r="F36" s="42" t="s">
        <v>130</v>
      </c>
      <c r="G36" s="42" t="s">
        <v>131</v>
      </c>
      <c r="H36" s="42" t="s">
        <v>28</v>
      </c>
      <c r="I36" s="42" t="s">
        <v>29</v>
      </c>
      <c r="J36" s="43">
        <v>1987</v>
      </c>
      <c r="K36" s="42" t="s">
        <v>64</v>
      </c>
      <c r="L36" s="42"/>
      <c r="M36" s="42" t="s">
        <v>32</v>
      </c>
      <c r="N36" s="45">
        <f t="shared" si="0"/>
        <v>0</v>
      </c>
      <c r="O36" s="108"/>
      <c r="P36" s="108"/>
      <c r="Q36" s="45">
        <f t="shared" si="1"/>
        <v>0</v>
      </c>
      <c r="R36" s="108"/>
      <c r="S36" s="108"/>
      <c r="T36" s="46">
        <f t="shared" si="2"/>
        <v>0</v>
      </c>
      <c r="U36" s="108"/>
      <c r="V36" s="108"/>
      <c r="W36" s="42" t="s">
        <v>33</v>
      </c>
      <c r="X36" s="42" t="s">
        <v>34</v>
      </c>
      <c r="Y36" s="42" t="s">
        <v>44</v>
      </c>
      <c r="Z36" s="28" t="s">
        <v>544</v>
      </c>
    </row>
    <row r="37" spans="1:26" ht="15" customHeight="1" x14ac:dyDescent="0.25">
      <c r="A37" s="42" t="s">
        <v>127</v>
      </c>
      <c r="B37" s="42" t="s">
        <v>132</v>
      </c>
      <c r="C37" s="42" t="s">
        <v>129</v>
      </c>
      <c r="D37" s="42">
        <v>1</v>
      </c>
      <c r="E37" s="42">
        <v>2</v>
      </c>
      <c r="F37" s="42" t="s">
        <v>130</v>
      </c>
      <c r="G37" s="42" t="s">
        <v>133</v>
      </c>
      <c r="H37" s="42" t="s">
        <v>28</v>
      </c>
      <c r="I37" s="42" t="s">
        <v>29</v>
      </c>
      <c r="J37" s="43">
        <v>1994</v>
      </c>
      <c r="K37" s="42" t="s">
        <v>70</v>
      </c>
      <c r="L37" s="42"/>
      <c r="M37" s="42" t="s">
        <v>32</v>
      </c>
      <c r="N37" s="45">
        <f t="shared" si="0"/>
        <v>0</v>
      </c>
      <c r="O37" s="108"/>
      <c r="P37" s="108"/>
      <c r="Q37" s="45">
        <f t="shared" si="1"/>
        <v>0</v>
      </c>
      <c r="R37" s="108"/>
      <c r="S37" s="108"/>
      <c r="T37" s="46">
        <f t="shared" si="2"/>
        <v>0</v>
      </c>
      <c r="U37" s="108"/>
      <c r="V37" s="108"/>
      <c r="W37" s="42" t="s">
        <v>33</v>
      </c>
      <c r="X37" s="42" t="s">
        <v>34</v>
      </c>
      <c r="Y37" s="42" t="s">
        <v>44</v>
      </c>
      <c r="Z37" s="28" t="s">
        <v>544</v>
      </c>
    </row>
    <row r="38" spans="1:26" s="26" customFormat="1" ht="15" customHeight="1" x14ac:dyDescent="0.25">
      <c r="A38" s="109" t="s">
        <v>127</v>
      </c>
      <c r="B38" s="21" t="s">
        <v>134</v>
      </c>
      <c r="C38" s="21" t="s">
        <v>129</v>
      </c>
      <c r="D38" s="21">
        <v>1</v>
      </c>
      <c r="E38" s="21"/>
      <c r="F38" s="110" t="s">
        <v>130</v>
      </c>
      <c r="G38" s="110" t="s">
        <v>135</v>
      </c>
      <c r="H38" s="21" t="s">
        <v>28</v>
      </c>
      <c r="I38" s="21" t="s">
        <v>29</v>
      </c>
      <c r="J38" s="22"/>
      <c r="K38" s="21" t="s">
        <v>70</v>
      </c>
      <c r="L38" s="21"/>
      <c r="M38" s="21" t="s">
        <v>32</v>
      </c>
      <c r="N38" s="23">
        <f t="shared" si="0"/>
        <v>10.347</v>
      </c>
      <c r="O38" s="24">
        <v>10.347</v>
      </c>
      <c r="P38" s="24"/>
      <c r="Q38" s="23">
        <f t="shared" si="1"/>
        <v>194.4</v>
      </c>
      <c r="R38" s="24">
        <v>194.4</v>
      </c>
      <c r="S38" s="24"/>
      <c r="T38" s="25">
        <f t="shared" si="2"/>
        <v>100.8</v>
      </c>
      <c r="U38" s="24">
        <v>100.8</v>
      </c>
      <c r="V38" s="24"/>
      <c r="W38" s="21" t="s">
        <v>33</v>
      </c>
      <c r="X38" s="109" t="s">
        <v>44</v>
      </c>
      <c r="Y38" s="109" t="s">
        <v>34</v>
      </c>
      <c r="Z38" s="28" t="s">
        <v>544</v>
      </c>
    </row>
    <row r="39" spans="1:26" ht="15" customHeight="1" x14ac:dyDescent="0.25">
      <c r="A39" s="42" t="s">
        <v>136</v>
      </c>
      <c r="B39" s="42" t="s">
        <v>137</v>
      </c>
      <c r="C39" s="42" t="s">
        <v>138</v>
      </c>
      <c r="D39" s="42">
        <v>1</v>
      </c>
      <c r="E39" s="42">
        <v>1</v>
      </c>
      <c r="F39" s="42" t="s">
        <v>139</v>
      </c>
      <c r="G39" s="42" t="s">
        <v>140</v>
      </c>
      <c r="H39" s="42" t="s">
        <v>28</v>
      </c>
      <c r="I39" s="42" t="s">
        <v>29</v>
      </c>
      <c r="J39" s="43">
        <v>1980</v>
      </c>
      <c r="K39" s="42" t="s">
        <v>64</v>
      </c>
      <c r="L39" s="42"/>
      <c r="M39" s="42" t="s">
        <v>32</v>
      </c>
      <c r="N39" s="45">
        <f t="shared" si="0"/>
        <v>0</v>
      </c>
      <c r="O39" s="108"/>
      <c r="P39" s="108"/>
      <c r="Q39" s="45">
        <f t="shared" si="1"/>
        <v>0</v>
      </c>
      <c r="R39" s="108"/>
      <c r="S39" s="108"/>
      <c r="T39" s="46">
        <f t="shared" si="2"/>
        <v>0</v>
      </c>
      <c r="U39" s="108"/>
      <c r="V39" s="108"/>
      <c r="W39" s="42" t="s">
        <v>33</v>
      </c>
      <c r="X39" s="42" t="s">
        <v>34</v>
      </c>
      <c r="Y39" s="42" t="s">
        <v>44</v>
      </c>
      <c r="Z39" s="28" t="s">
        <v>544</v>
      </c>
    </row>
    <row r="40" spans="1:26" ht="15" customHeight="1" x14ac:dyDescent="0.25">
      <c r="A40" s="42" t="s">
        <v>136</v>
      </c>
      <c r="B40" s="42" t="s">
        <v>141</v>
      </c>
      <c r="C40" s="42" t="s">
        <v>138</v>
      </c>
      <c r="D40" s="42">
        <v>1</v>
      </c>
      <c r="E40" s="42">
        <v>2</v>
      </c>
      <c r="F40" s="42" t="s">
        <v>139</v>
      </c>
      <c r="G40" s="42" t="s">
        <v>142</v>
      </c>
      <c r="H40" s="42" t="s">
        <v>28</v>
      </c>
      <c r="I40" s="42" t="s">
        <v>29</v>
      </c>
      <c r="J40" s="43">
        <v>1993</v>
      </c>
      <c r="K40" s="42" t="s">
        <v>64</v>
      </c>
      <c r="L40" s="42"/>
      <c r="M40" s="42" t="s">
        <v>32</v>
      </c>
      <c r="N40" s="45">
        <f t="shared" si="0"/>
        <v>0</v>
      </c>
      <c r="O40" s="108"/>
      <c r="P40" s="108"/>
      <c r="Q40" s="45">
        <f t="shared" si="1"/>
        <v>0</v>
      </c>
      <c r="R40" s="108"/>
      <c r="S40" s="108"/>
      <c r="T40" s="46">
        <f t="shared" si="2"/>
        <v>0</v>
      </c>
      <c r="U40" s="108"/>
      <c r="V40" s="108"/>
      <c r="W40" s="42" t="s">
        <v>33</v>
      </c>
      <c r="X40" s="42" t="s">
        <v>34</v>
      </c>
      <c r="Y40" s="42" t="s">
        <v>44</v>
      </c>
      <c r="Z40" s="28" t="s">
        <v>544</v>
      </c>
    </row>
    <row r="41" spans="1:26" ht="15" customHeight="1" x14ac:dyDescent="0.25">
      <c r="A41" s="42" t="s">
        <v>136</v>
      </c>
      <c r="B41" s="42" t="s">
        <v>143</v>
      </c>
      <c r="C41" s="42" t="s">
        <v>138</v>
      </c>
      <c r="D41" s="42">
        <v>1</v>
      </c>
      <c r="E41" s="42">
        <v>3</v>
      </c>
      <c r="F41" s="42" t="s">
        <v>139</v>
      </c>
      <c r="G41" s="42" t="s">
        <v>144</v>
      </c>
      <c r="H41" s="42" t="s">
        <v>28</v>
      </c>
      <c r="I41" s="42" t="s">
        <v>29</v>
      </c>
      <c r="J41" s="43">
        <v>1970</v>
      </c>
      <c r="K41" s="42" t="s">
        <v>64</v>
      </c>
      <c r="L41" s="42"/>
      <c r="M41" s="42" t="s">
        <v>32</v>
      </c>
      <c r="N41" s="45">
        <f t="shared" si="0"/>
        <v>0</v>
      </c>
      <c r="O41" s="108"/>
      <c r="P41" s="108"/>
      <c r="Q41" s="45">
        <f t="shared" si="1"/>
        <v>0</v>
      </c>
      <c r="R41" s="108"/>
      <c r="S41" s="108"/>
      <c r="T41" s="46">
        <f t="shared" si="2"/>
        <v>0</v>
      </c>
      <c r="U41" s="108"/>
      <c r="V41" s="108"/>
      <c r="W41" s="42" t="s">
        <v>33</v>
      </c>
      <c r="X41" s="42" t="s">
        <v>34</v>
      </c>
      <c r="Y41" s="42" t="s">
        <v>44</v>
      </c>
      <c r="Z41" s="28" t="s">
        <v>544</v>
      </c>
    </row>
    <row r="42" spans="1:26" s="26" customFormat="1" ht="15" customHeight="1" x14ac:dyDescent="0.25">
      <c r="A42" s="109" t="s">
        <v>136</v>
      </c>
      <c r="B42" s="21" t="s">
        <v>145</v>
      </c>
      <c r="C42" s="21" t="s">
        <v>138</v>
      </c>
      <c r="D42" s="21">
        <v>1</v>
      </c>
      <c r="E42" s="21"/>
      <c r="F42" s="110" t="s">
        <v>139</v>
      </c>
      <c r="G42" s="110" t="s">
        <v>146</v>
      </c>
      <c r="H42" s="21" t="s">
        <v>28</v>
      </c>
      <c r="I42" s="21" t="s">
        <v>29</v>
      </c>
      <c r="J42" s="22"/>
      <c r="K42" s="21" t="s">
        <v>64</v>
      </c>
      <c r="L42" s="21"/>
      <c r="M42" s="21" t="s">
        <v>32</v>
      </c>
      <c r="N42" s="23">
        <f t="shared" si="0"/>
        <v>12.2</v>
      </c>
      <c r="O42" s="24">
        <v>12.2</v>
      </c>
      <c r="P42" s="24"/>
      <c r="Q42" s="23">
        <f t="shared" si="1"/>
        <v>642</v>
      </c>
      <c r="R42" s="24">
        <v>642</v>
      </c>
      <c r="S42" s="24"/>
      <c r="T42" s="25">
        <f t="shared" si="2"/>
        <v>136</v>
      </c>
      <c r="U42" s="24">
        <v>136</v>
      </c>
      <c r="V42" s="24"/>
      <c r="W42" s="21" t="s">
        <v>33</v>
      </c>
      <c r="X42" s="109" t="s">
        <v>44</v>
      </c>
      <c r="Y42" s="109" t="s">
        <v>34</v>
      </c>
      <c r="Z42" s="28" t="s">
        <v>544</v>
      </c>
    </row>
    <row r="43" spans="1:26" ht="15" customHeight="1" x14ac:dyDescent="0.25">
      <c r="A43" s="42" t="s">
        <v>136</v>
      </c>
      <c r="B43" s="42" t="s">
        <v>147</v>
      </c>
      <c r="C43" s="42" t="s">
        <v>138</v>
      </c>
      <c r="D43" s="42">
        <v>1</v>
      </c>
      <c r="E43" s="42">
        <v>4</v>
      </c>
      <c r="F43" s="42" t="s">
        <v>139</v>
      </c>
      <c r="G43" s="42" t="s">
        <v>148</v>
      </c>
      <c r="H43" s="42" t="s">
        <v>28</v>
      </c>
      <c r="I43" s="42" t="s">
        <v>29</v>
      </c>
      <c r="J43" s="43">
        <v>1956</v>
      </c>
      <c r="K43" s="42" t="s">
        <v>70</v>
      </c>
      <c r="L43" s="42"/>
      <c r="M43" s="42" t="s">
        <v>32</v>
      </c>
      <c r="N43" s="45">
        <f t="shared" si="0"/>
        <v>0</v>
      </c>
      <c r="O43" s="108"/>
      <c r="P43" s="108"/>
      <c r="Q43" s="45">
        <f t="shared" si="1"/>
        <v>0</v>
      </c>
      <c r="R43" s="108"/>
      <c r="S43" s="108"/>
      <c r="T43" s="46">
        <f t="shared" si="2"/>
        <v>0</v>
      </c>
      <c r="U43" s="108"/>
      <c r="V43" s="108"/>
      <c r="W43" s="42" t="s">
        <v>33</v>
      </c>
      <c r="X43" s="42" t="s">
        <v>34</v>
      </c>
      <c r="Y43" s="42" t="s">
        <v>44</v>
      </c>
      <c r="Z43" s="28" t="s">
        <v>544</v>
      </c>
    </row>
    <row r="44" spans="1:26" ht="15" customHeight="1" x14ac:dyDescent="0.25">
      <c r="A44" s="42" t="s">
        <v>136</v>
      </c>
      <c r="B44" s="42" t="s">
        <v>149</v>
      </c>
      <c r="C44" s="42" t="s">
        <v>138</v>
      </c>
      <c r="D44" s="42">
        <v>1</v>
      </c>
      <c r="E44" s="42">
        <v>5</v>
      </c>
      <c r="F44" s="42" t="s">
        <v>139</v>
      </c>
      <c r="G44" s="42" t="s">
        <v>150</v>
      </c>
      <c r="H44" s="42" t="s">
        <v>28</v>
      </c>
      <c r="I44" s="42" t="s">
        <v>29</v>
      </c>
      <c r="J44" s="43">
        <v>1956</v>
      </c>
      <c r="K44" s="42" t="s">
        <v>70</v>
      </c>
      <c r="L44" s="42"/>
      <c r="M44" s="42" t="s">
        <v>32</v>
      </c>
      <c r="N44" s="45">
        <f t="shared" si="0"/>
        <v>0</v>
      </c>
      <c r="O44" s="108"/>
      <c r="P44" s="108"/>
      <c r="Q44" s="45">
        <f t="shared" si="1"/>
        <v>0</v>
      </c>
      <c r="R44" s="108"/>
      <c r="S44" s="108"/>
      <c r="T44" s="46">
        <f t="shared" si="2"/>
        <v>0</v>
      </c>
      <c r="U44" s="108"/>
      <c r="V44" s="108"/>
      <c r="W44" s="42" t="s">
        <v>33</v>
      </c>
      <c r="X44" s="42" t="s">
        <v>34</v>
      </c>
      <c r="Y44" s="42" t="s">
        <v>44</v>
      </c>
      <c r="Z44" s="28" t="s">
        <v>544</v>
      </c>
    </row>
    <row r="45" spans="1:26" ht="15" customHeight="1" x14ac:dyDescent="0.25">
      <c r="A45" s="42" t="s">
        <v>136</v>
      </c>
      <c r="B45" s="42" t="s">
        <v>151</v>
      </c>
      <c r="C45" s="42" t="s">
        <v>138</v>
      </c>
      <c r="D45" s="42">
        <v>1</v>
      </c>
      <c r="E45" s="42">
        <v>6</v>
      </c>
      <c r="F45" s="42" t="s">
        <v>139</v>
      </c>
      <c r="G45" s="42" t="s">
        <v>152</v>
      </c>
      <c r="H45" s="42" t="s">
        <v>28</v>
      </c>
      <c r="I45" s="42" t="s">
        <v>29</v>
      </c>
      <c r="J45" s="43">
        <v>1965</v>
      </c>
      <c r="K45" s="42" t="s">
        <v>70</v>
      </c>
      <c r="L45" s="42"/>
      <c r="M45" s="42" t="s">
        <v>32</v>
      </c>
      <c r="N45" s="45">
        <f t="shared" si="0"/>
        <v>0</v>
      </c>
      <c r="O45" s="108"/>
      <c r="P45" s="108"/>
      <c r="Q45" s="45">
        <f t="shared" si="1"/>
        <v>0</v>
      </c>
      <c r="R45" s="108"/>
      <c r="S45" s="108"/>
      <c r="T45" s="46">
        <f t="shared" si="2"/>
        <v>0</v>
      </c>
      <c r="U45" s="108"/>
      <c r="V45" s="108"/>
      <c r="W45" s="42" t="s">
        <v>33</v>
      </c>
      <c r="X45" s="42" t="s">
        <v>34</v>
      </c>
      <c r="Y45" s="42" t="s">
        <v>44</v>
      </c>
      <c r="Z45" s="28" t="s">
        <v>544</v>
      </c>
    </row>
    <row r="46" spans="1:26" s="26" customFormat="1" ht="15" customHeight="1" x14ac:dyDescent="0.25">
      <c r="A46" s="109" t="s">
        <v>136</v>
      </c>
      <c r="B46" s="21" t="s">
        <v>145</v>
      </c>
      <c r="C46" s="21" t="s">
        <v>138</v>
      </c>
      <c r="D46" s="21">
        <v>1</v>
      </c>
      <c r="E46" s="21"/>
      <c r="F46" s="110" t="s">
        <v>139</v>
      </c>
      <c r="G46" s="110" t="s">
        <v>153</v>
      </c>
      <c r="H46" s="21" t="s">
        <v>28</v>
      </c>
      <c r="I46" s="21" t="s">
        <v>29</v>
      </c>
      <c r="J46" s="22"/>
      <c r="K46" s="21" t="s">
        <v>70</v>
      </c>
      <c r="L46" s="21"/>
      <c r="M46" s="21" t="s">
        <v>32</v>
      </c>
      <c r="N46" s="23">
        <f t="shared" si="0"/>
        <v>11.65</v>
      </c>
      <c r="O46" s="24">
        <v>11.65</v>
      </c>
      <c r="P46" s="24"/>
      <c r="Q46" s="23">
        <f t="shared" si="1"/>
        <v>277</v>
      </c>
      <c r="R46" s="24">
        <v>277</v>
      </c>
      <c r="S46" s="24"/>
      <c r="T46" s="25">
        <f t="shared" si="2"/>
        <v>146</v>
      </c>
      <c r="U46" s="24">
        <v>146</v>
      </c>
      <c r="V46" s="24"/>
      <c r="W46" s="21" t="s">
        <v>33</v>
      </c>
      <c r="X46" s="109" t="s">
        <v>44</v>
      </c>
      <c r="Y46" s="109" t="s">
        <v>34</v>
      </c>
      <c r="Z46" s="28" t="s">
        <v>544</v>
      </c>
    </row>
    <row r="47" spans="1:26" s="47" customFormat="1" ht="15" customHeight="1" x14ac:dyDescent="0.25">
      <c r="A47" s="16" t="s">
        <v>136</v>
      </c>
      <c r="B47" s="16" t="s">
        <v>154</v>
      </c>
      <c r="C47" s="16" t="s">
        <v>138</v>
      </c>
      <c r="D47" s="16">
        <v>1</v>
      </c>
      <c r="E47" s="16">
        <v>7</v>
      </c>
      <c r="F47" s="16" t="s">
        <v>139</v>
      </c>
      <c r="G47" s="16" t="s">
        <v>155</v>
      </c>
      <c r="H47" s="16" t="s">
        <v>28</v>
      </c>
      <c r="I47" s="16" t="s">
        <v>29</v>
      </c>
      <c r="J47" s="17">
        <v>1976</v>
      </c>
      <c r="K47" s="16" t="s">
        <v>70</v>
      </c>
      <c r="L47" s="16"/>
      <c r="M47" s="16" t="s">
        <v>32</v>
      </c>
      <c r="N47" s="18">
        <f t="shared" si="0"/>
        <v>13.4</v>
      </c>
      <c r="O47" s="31">
        <v>13.4</v>
      </c>
      <c r="P47" s="31"/>
      <c r="Q47" s="18">
        <f t="shared" si="1"/>
        <v>248</v>
      </c>
      <c r="R47" s="31">
        <v>248</v>
      </c>
      <c r="S47" s="31"/>
      <c r="T47" s="19">
        <f t="shared" si="2"/>
        <v>112</v>
      </c>
      <c r="U47" s="31">
        <v>112</v>
      </c>
      <c r="V47" s="31"/>
      <c r="W47" s="16" t="s">
        <v>33</v>
      </c>
      <c r="X47" s="16" t="s">
        <v>34</v>
      </c>
      <c r="Y47" s="16" t="s">
        <v>34</v>
      </c>
      <c r="Z47" s="28" t="s">
        <v>544</v>
      </c>
    </row>
    <row r="48" spans="1:26" ht="15" customHeight="1" x14ac:dyDescent="0.25">
      <c r="A48" s="42" t="s">
        <v>136</v>
      </c>
      <c r="B48" s="42" t="s">
        <v>156</v>
      </c>
      <c r="C48" s="42" t="s">
        <v>138</v>
      </c>
      <c r="D48" s="42">
        <v>1</v>
      </c>
      <c r="E48" s="42">
        <v>8</v>
      </c>
      <c r="F48" s="42" t="s">
        <v>139</v>
      </c>
      <c r="G48" s="42" t="s">
        <v>157</v>
      </c>
      <c r="H48" s="42" t="s">
        <v>28</v>
      </c>
      <c r="I48" s="42" t="s">
        <v>29</v>
      </c>
      <c r="J48" s="43">
        <v>1993</v>
      </c>
      <c r="K48" s="42" t="s">
        <v>70</v>
      </c>
      <c r="L48" s="42"/>
      <c r="M48" s="42" t="s">
        <v>32</v>
      </c>
      <c r="N48" s="45">
        <f t="shared" si="0"/>
        <v>0</v>
      </c>
      <c r="O48" s="108"/>
      <c r="P48" s="108"/>
      <c r="Q48" s="45">
        <f t="shared" si="1"/>
        <v>0</v>
      </c>
      <c r="R48" s="108"/>
      <c r="S48" s="108"/>
      <c r="T48" s="46">
        <f t="shared" si="2"/>
        <v>0</v>
      </c>
      <c r="U48" s="108"/>
      <c r="V48" s="108"/>
      <c r="W48" s="42" t="s">
        <v>33</v>
      </c>
      <c r="X48" s="42" t="s">
        <v>34</v>
      </c>
      <c r="Y48" s="42" t="s">
        <v>44</v>
      </c>
      <c r="Z48" s="28" t="s">
        <v>544</v>
      </c>
    </row>
    <row r="49" spans="1:26" ht="15" customHeight="1" x14ac:dyDescent="0.25">
      <c r="A49" s="42" t="s">
        <v>136</v>
      </c>
      <c r="B49" s="42" t="s">
        <v>158</v>
      </c>
      <c r="C49" s="42" t="s">
        <v>138</v>
      </c>
      <c r="D49" s="42">
        <v>1</v>
      </c>
      <c r="E49" s="42">
        <v>9</v>
      </c>
      <c r="F49" s="42" t="s">
        <v>139</v>
      </c>
      <c r="G49" s="42" t="s">
        <v>159</v>
      </c>
      <c r="H49" s="42" t="s">
        <v>28</v>
      </c>
      <c r="I49" s="42" t="s">
        <v>29</v>
      </c>
      <c r="J49" s="43">
        <v>1968</v>
      </c>
      <c r="K49" s="42" t="s">
        <v>70</v>
      </c>
      <c r="L49" s="42"/>
      <c r="M49" s="42" t="s">
        <v>32</v>
      </c>
      <c r="N49" s="45">
        <f t="shared" si="0"/>
        <v>0</v>
      </c>
      <c r="O49" s="108"/>
      <c r="P49" s="108"/>
      <c r="Q49" s="45">
        <f t="shared" si="1"/>
        <v>0</v>
      </c>
      <c r="R49" s="108"/>
      <c r="S49" s="108"/>
      <c r="T49" s="46">
        <f t="shared" si="2"/>
        <v>0</v>
      </c>
      <c r="U49" s="108"/>
      <c r="V49" s="108"/>
      <c r="W49" s="42" t="s">
        <v>33</v>
      </c>
      <c r="X49" s="42" t="s">
        <v>34</v>
      </c>
      <c r="Y49" s="42" t="s">
        <v>44</v>
      </c>
      <c r="Z49" s="28" t="s">
        <v>544</v>
      </c>
    </row>
    <row r="50" spans="1:26" s="26" customFormat="1" ht="15" customHeight="1" x14ac:dyDescent="0.25">
      <c r="A50" s="109" t="s">
        <v>136</v>
      </c>
      <c r="B50" s="21" t="s">
        <v>145</v>
      </c>
      <c r="C50" s="21" t="s">
        <v>138</v>
      </c>
      <c r="D50" s="21">
        <v>1</v>
      </c>
      <c r="E50" s="21"/>
      <c r="F50" s="110" t="s">
        <v>139</v>
      </c>
      <c r="G50" s="110" t="s">
        <v>160</v>
      </c>
      <c r="H50" s="21" t="s">
        <v>28</v>
      </c>
      <c r="I50" s="21" t="s">
        <v>29</v>
      </c>
      <c r="J50" s="22"/>
      <c r="K50" s="21" t="s">
        <v>70</v>
      </c>
      <c r="L50" s="21"/>
      <c r="M50" s="21" t="s">
        <v>32</v>
      </c>
      <c r="N50" s="23">
        <f t="shared" si="0"/>
        <v>33.200000000000003</v>
      </c>
      <c r="O50" s="24">
        <v>33.200000000000003</v>
      </c>
      <c r="P50" s="24"/>
      <c r="Q50" s="23">
        <f t="shared" si="1"/>
        <v>416</v>
      </c>
      <c r="R50" s="24">
        <v>416</v>
      </c>
      <c r="S50" s="24"/>
      <c r="T50" s="25">
        <f t="shared" si="2"/>
        <v>260</v>
      </c>
      <c r="U50" s="24">
        <v>260</v>
      </c>
      <c r="V50" s="24"/>
      <c r="W50" s="21" t="s">
        <v>33</v>
      </c>
      <c r="X50" s="109" t="s">
        <v>44</v>
      </c>
      <c r="Y50" s="109" t="s">
        <v>34</v>
      </c>
      <c r="Z50" s="28" t="s">
        <v>544</v>
      </c>
    </row>
    <row r="51" spans="1:26" ht="15" customHeight="1" x14ac:dyDescent="0.25">
      <c r="A51" s="42" t="s">
        <v>136</v>
      </c>
      <c r="B51" s="42" t="s">
        <v>161</v>
      </c>
      <c r="C51" s="42" t="s">
        <v>138</v>
      </c>
      <c r="D51" s="42">
        <v>1</v>
      </c>
      <c r="E51" s="42">
        <v>10</v>
      </c>
      <c r="F51" s="42" t="s">
        <v>139</v>
      </c>
      <c r="G51" s="42" t="s">
        <v>162</v>
      </c>
      <c r="H51" s="42" t="s">
        <v>28</v>
      </c>
      <c r="I51" s="42" t="s">
        <v>29</v>
      </c>
      <c r="J51" s="43">
        <v>1970</v>
      </c>
      <c r="K51" s="42" t="s">
        <v>70</v>
      </c>
      <c r="L51" s="42"/>
      <c r="M51" s="42" t="s">
        <v>32</v>
      </c>
      <c r="N51" s="45">
        <f t="shared" si="0"/>
        <v>0</v>
      </c>
      <c r="O51" s="108"/>
      <c r="P51" s="108"/>
      <c r="Q51" s="45">
        <f t="shared" si="1"/>
        <v>0</v>
      </c>
      <c r="R51" s="108"/>
      <c r="S51" s="108"/>
      <c r="T51" s="46">
        <f t="shared" si="2"/>
        <v>0</v>
      </c>
      <c r="U51" s="108"/>
      <c r="V51" s="108"/>
      <c r="W51" s="42" t="s">
        <v>33</v>
      </c>
      <c r="X51" s="42" t="s">
        <v>34</v>
      </c>
      <c r="Y51" s="42" t="s">
        <v>44</v>
      </c>
      <c r="Z51" s="28" t="s">
        <v>544</v>
      </c>
    </row>
    <row r="52" spans="1:26" ht="15" customHeight="1" x14ac:dyDescent="0.25">
      <c r="A52" s="42" t="s">
        <v>136</v>
      </c>
      <c r="B52" s="42" t="s">
        <v>163</v>
      </c>
      <c r="C52" s="42" t="s">
        <v>138</v>
      </c>
      <c r="D52" s="42">
        <v>1</v>
      </c>
      <c r="E52" s="42">
        <v>11</v>
      </c>
      <c r="F52" s="42" t="s">
        <v>139</v>
      </c>
      <c r="G52" s="42" t="s">
        <v>164</v>
      </c>
      <c r="H52" s="42" t="s">
        <v>28</v>
      </c>
      <c r="I52" s="42" t="s">
        <v>29</v>
      </c>
      <c r="J52" s="43">
        <v>1982</v>
      </c>
      <c r="K52" s="42" t="s">
        <v>70</v>
      </c>
      <c r="L52" s="42"/>
      <c r="M52" s="42" t="s">
        <v>32</v>
      </c>
      <c r="N52" s="45">
        <f t="shared" si="0"/>
        <v>0</v>
      </c>
      <c r="O52" s="108"/>
      <c r="P52" s="108"/>
      <c r="Q52" s="45">
        <f t="shared" si="1"/>
        <v>0</v>
      </c>
      <c r="R52" s="108"/>
      <c r="S52" s="108"/>
      <c r="T52" s="46">
        <f t="shared" si="2"/>
        <v>0</v>
      </c>
      <c r="U52" s="108"/>
      <c r="V52" s="108"/>
      <c r="W52" s="42" t="s">
        <v>33</v>
      </c>
      <c r="X52" s="42" t="s">
        <v>34</v>
      </c>
      <c r="Y52" s="42" t="s">
        <v>44</v>
      </c>
      <c r="Z52" s="28" t="s">
        <v>544</v>
      </c>
    </row>
    <row r="53" spans="1:26" ht="15" customHeight="1" x14ac:dyDescent="0.25">
      <c r="A53" s="42" t="s">
        <v>136</v>
      </c>
      <c r="B53" s="42" t="s">
        <v>165</v>
      </c>
      <c r="C53" s="42" t="s">
        <v>138</v>
      </c>
      <c r="D53" s="42">
        <v>1</v>
      </c>
      <c r="E53" s="42">
        <v>12</v>
      </c>
      <c r="F53" s="42" t="s">
        <v>139</v>
      </c>
      <c r="G53" s="42" t="s">
        <v>166</v>
      </c>
      <c r="H53" s="42" t="s">
        <v>28</v>
      </c>
      <c r="I53" s="42" t="s">
        <v>29</v>
      </c>
      <c r="J53" s="43">
        <v>1982</v>
      </c>
      <c r="K53" s="42" t="s">
        <v>70</v>
      </c>
      <c r="L53" s="42"/>
      <c r="M53" s="42" t="s">
        <v>32</v>
      </c>
      <c r="N53" s="45">
        <f t="shared" si="0"/>
        <v>0</v>
      </c>
      <c r="O53" s="108"/>
      <c r="P53" s="108"/>
      <c r="Q53" s="45">
        <f t="shared" si="1"/>
        <v>0</v>
      </c>
      <c r="R53" s="108"/>
      <c r="S53" s="108"/>
      <c r="T53" s="46">
        <f t="shared" si="2"/>
        <v>0</v>
      </c>
      <c r="U53" s="108"/>
      <c r="V53" s="108"/>
      <c r="W53" s="42" t="s">
        <v>33</v>
      </c>
      <c r="X53" s="42" t="s">
        <v>34</v>
      </c>
      <c r="Y53" s="42" t="s">
        <v>44</v>
      </c>
      <c r="Z53" s="28" t="s">
        <v>544</v>
      </c>
    </row>
    <row r="54" spans="1:26" ht="15" customHeight="1" x14ac:dyDescent="0.25">
      <c r="A54" s="42" t="s">
        <v>136</v>
      </c>
      <c r="B54" s="42" t="s">
        <v>167</v>
      </c>
      <c r="C54" s="42" t="s">
        <v>138</v>
      </c>
      <c r="D54" s="42">
        <v>1</v>
      </c>
      <c r="E54" s="42">
        <v>13</v>
      </c>
      <c r="F54" s="42" t="s">
        <v>139</v>
      </c>
      <c r="G54" s="42" t="s">
        <v>168</v>
      </c>
      <c r="H54" s="42" t="s">
        <v>28</v>
      </c>
      <c r="I54" s="42" t="s">
        <v>29</v>
      </c>
      <c r="J54" s="43">
        <v>1970</v>
      </c>
      <c r="K54" s="42" t="s">
        <v>169</v>
      </c>
      <c r="L54" s="42"/>
      <c r="M54" s="42" t="s">
        <v>32</v>
      </c>
      <c r="N54" s="45">
        <f t="shared" si="0"/>
        <v>0</v>
      </c>
      <c r="O54" s="108"/>
      <c r="P54" s="108"/>
      <c r="Q54" s="45">
        <f t="shared" si="1"/>
        <v>0</v>
      </c>
      <c r="R54" s="108"/>
      <c r="S54" s="108"/>
      <c r="T54" s="46">
        <f t="shared" si="2"/>
        <v>0</v>
      </c>
      <c r="U54" s="108"/>
      <c r="V54" s="108"/>
      <c r="W54" s="42" t="s">
        <v>33</v>
      </c>
      <c r="X54" s="42" t="s">
        <v>34</v>
      </c>
      <c r="Y54" s="42" t="s">
        <v>44</v>
      </c>
      <c r="Z54" s="28" t="s">
        <v>544</v>
      </c>
    </row>
    <row r="55" spans="1:26" s="26" customFormat="1" ht="15" customHeight="1" x14ac:dyDescent="0.25">
      <c r="A55" s="109" t="s">
        <v>136</v>
      </c>
      <c r="B55" s="21" t="s">
        <v>145</v>
      </c>
      <c r="C55" s="21" t="s">
        <v>138</v>
      </c>
      <c r="D55" s="21">
        <v>1</v>
      </c>
      <c r="E55" s="21"/>
      <c r="F55" s="110" t="s">
        <v>139</v>
      </c>
      <c r="G55" s="110" t="s">
        <v>170</v>
      </c>
      <c r="H55" s="21" t="s">
        <v>28</v>
      </c>
      <c r="I55" s="21" t="s">
        <v>29</v>
      </c>
      <c r="J55" s="22"/>
      <c r="K55" s="21" t="s">
        <v>70</v>
      </c>
      <c r="L55" s="21"/>
      <c r="M55" s="21" t="s">
        <v>32</v>
      </c>
      <c r="N55" s="23">
        <f t="shared" si="0"/>
        <v>16.649999999999999</v>
      </c>
      <c r="O55" s="24">
        <v>16.649999999999999</v>
      </c>
      <c r="P55" s="24"/>
      <c r="Q55" s="23">
        <f t="shared" si="1"/>
        <v>222</v>
      </c>
      <c r="R55" s="24">
        <v>222</v>
      </c>
      <c r="S55" s="24"/>
      <c r="T55" s="25">
        <f t="shared" si="2"/>
        <v>139</v>
      </c>
      <c r="U55" s="24">
        <v>139</v>
      </c>
      <c r="V55" s="24"/>
      <c r="W55" s="21" t="s">
        <v>33</v>
      </c>
      <c r="X55" s="109" t="s">
        <v>44</v>
      </c>
      <c r="Y55" s="109" t="s">
        <v>34</v>
      </c>
      <c r="Z55" s="28" t="s">
        <v>544</v>
      </c>
    </row>
    <row r="56" spans="1:26" ht="15" customHeight="1" x14ac:dyDescent="0.25">
      <c r="A56" s="42" t="s">
        <v>136</v>
      </c>
      <c r="B56" s="42" t="s">
        <v>171</v>
      </c>
      <c r="C56" s="42" t="s">
        <v>138</v>
      </c>
      <c r="D56" s="42">
        <v>1</v>
      </c>
      <c r="E56" s="42">
        <v>14</v>
      </c>
      <c r="F56" s="42" t="s">
        <v>139</v>
      </c>
      <c r="G56" s="42" t="s">
        <v>172</v>
      </c>
      <c r="H56" s="42" t="s">
        <v>28</v>
      </c>
      <c r="I56" s="42" t="s">
        <v>29</v>
      </c>
      <c r="J56" s="43">
        <v>1993</v>
      </c>
      <c r="K56" s="42" t="s">
        <v>70</v>
      </c>
      <c r="L56" s="42"/>
      <c r="M56" s="42" t="s">
        <v>32</v>
      </c>
      <c r="N56" s="45">
        <f t="shared" si="0"/>
        <v>0</v>
      </c>
      <c r="O56" s="108"/>
      <c r="P56" s="108"/>
      <c r="Q56" s="45">
        <f t="shared" si="1"/>
        <v>0</v>
      </c>
      <c r="R56" s="108"/>
      <c r="S56" s="108"/>
      <c r="T56" s="46">
        <f t="shared" si="2"/>
        <v>0</v>
      </c>
      <c r="U56" s="108"/>
      <c r="V56" s="108"/>
      <c r="W56" s="42" t="s">
        <v>33</v>
      </c>
      <c r="X56" s="42" t="s">
        <v>34</v>
      </c>
      <c r="Y56" s="42" t="s">
        <v>44</v>
      </c>
      <c r="Z56" s="28" t="s">
        <v>544</v>
      </c>
    </row>
    <row r="57" spans="1:26" ht="15" customHeight="1" x14ac:dyDescent="0.25">
      <c r="A57" s="42" t="s">
        <v>136</v>
      </c>
      <c r="B57" s="42" t="s">
        <v>173</v>
      </c>
      <c r="C57" s="42" t="s">
        <v>138</v>
      </c>
      <c r="D57" s="42">
        <v>1</v>
      </c>
      <c r="E57" s="42">
        <v>15</v>
      </c>
      <c r="F57" s="42" t="s">
        <v>139</v>
      </c>
      <c r="G57" s="42" t="s">
        <v>174</v>
      </c>
      <c r="H57" s="42" t="s">
        <v>28</v>
      </c>
      <c r="I57" s="42" t="s">
        <v>29</v>
      </c>
      <c r="J57" s="43">
        <v>1968</v>
      </c>
      <c r="K57" s="42" t="s">
        <v>70</v>
      </c>
      <c r="L57" s="42"/>
      <c r="M57" s="42" t="s">
        <v>32</v>
      </c>
      <c r="N57" s="45">
        <f t="shared" si="0"/>
        <v>0</v>
      </c>
      <c r="O57" s="108"/>
      <c r="P57" s="108"/>
      <c r="Q57" s="45">
        <f t="shared" si="1"/>
        <v>0</v>
      </c>
      <c r="R57" s="108"/>
      <c r="S57" s="108"/>
      <c r="T57" s="46">
        <f t="shared" si="2"/>
        <v>0</v>
      </c>
      <c r="U57" s="108"/>
      <c r="V57" s="108"/>
      <c r="W57" s="42" t="s">
        <v>33</v>
      </c>
      <c r="X57" s="42" t="s">
        <v>34</v>
      </c>
      <c r="Y57" s="42" t="s">
        <v>44</v>
      </c>
      <c r="Z57" s="28" t="s">
        <v>544</v>
      </c>
    </row>
    <row r="58" spans="1:26" s="26" customFormat="1" ht="15" customHeight="1" x14ac:dyDescent="0.25">
      <c r="A58" s="109" t="s">
        <v>136</v>
      </c>
      <c r="B58" s="21" t="s">
        <v>145</v>
      </c>
      <c r="C58" s="21" t="s">
        <v>138</v>
      </c>
      <c r="D58" s="21">
        <v>1</v>
      </c>
      <c r="E58" s="21"/>
      <c r="F58" s="110" t="s">
        <v>139</v>
      </c>
      <c r="G58" s="110" t="s">
        <v>175</v>
      </c>
      <c r="H58" s="21" t="s">
        <v>28</v>
      </c>
      <c r="I58" s="21" t="s">
        <v>29</v>
      </c>
      <c r="J58" s="22"/>
      <c r="K58" s="21" t="s">
        <v>70</v>
      </c>
      <c r="L58" s="21"/>
      <c r="M58" s="21" t="s">
        <v>32</v>
      </c>
      <c r="N58" s="23">
        <f t="shared" si="0"/>
        <v>12.9</v>
      </c>
      <c r="O58" s="24">
        <v>12.9</v>
      </c>
      <c r="P58" s="24"/>
      <c r="Q58" s="23">
        <f t="shared" si="1"/>
        <v>145</v>
      </c>
      <c r="R58" s="24">
        <v>145</v>
      </c>
      <c r="S58" s="24"/>
      <c r="T58" s="25">
        <f t="shared" si="2"/>
        <v>91</v>
      </c>
      <c r="U58" s="24">
        <v>91</v>
      </c>
      <c r="V58" s="24"/>
      <c r="W58" s="21" t="s">
        <v>33</v>
      </c>
      <c r="X58" s="109" t="s">
        <v>44</v>
      </c>
      <c r="Y58" s="109" t="s">
        <v>34</v>
      </c>
      <c r="Z58" s="28" t="s">
        <v>544</v>
      </c>
    </row>
    <row r="59" spans="1:26" ht="15" customHeight="1" x14ac:dyDescent="0.25">
      <c r="A59" s="16" t="s">
        <v>136</v>
      </c>
      <c r="B59" s="16" t="s">
        <v>176</v>
      </c>
      <c r="C59" s="16" t="s">
        <v>138</v>
      </c>
      <c r="D59" s="16">
        <v>1</v>
      </c>
      <c r="E59" s="16">
        <v>16</v>
      </c>
      <c r="F59" s="16" t="s">
        <v>139</v>
      </c>
      <c r="G59" s="16" t="s">
        <v>177</v>
      </c>
      <c r="H59" s="16" t="s">
        <v>85</v>
      </c>
      <c r="I59" s="16" t="s">
        <v>94</v>
      </c>
      <c r="J59" s="17">
        <v>2022</v>
      </c>
      <c r="K59" s="16" t="s">
        <v>64</v>
      </c>
      <c r="L59" s="16"/>
      <c r="M59" s="16" t="s">
        <v>32</v>
      </c>
      <c r="N59" s="18">
        <f t="shared" si="0"/>
        <v>2.2799999999999998</v>
      </c>
      <c r="O59" s="31">
        <v>2.2799999999999998</v>
      </c>
      <c r="P59" s="31"/>
      <c r="Q59" s="18">
        <f t="shared" si="1"/>
        <v>109.4</v>
      </c>
      <c r="R59" s="31">
        <v>109.4</v>
      </c>
      <c r="S59" s="31"/>
      <c r="T59" s="19">
        <f t="shared" si="2"/>
        <v>34.200000000000003</v>
      </c>
      <c r="U59" s="31">
        <v>34.200000000000003</v>
      </c>
      <c r="V59" s="31"/>
      <c r="W59" s="16" t="s">
        <v>33</v>
      </c>
      <c r="X59" s="152" t="s">
        <v>34</v>
      </c>
      <c r="Y59" s="152" t="s">
        <v>34</v>
      </c>
      <c r="Z59" s="28" t="s">
        <v>544</v>
      </c>
    </row>
    <row r="60" spans="1:26" ht="15" customHeight="1" x14ac:dyDescent="0.25">
      <c r="A60" s="16" t="s">
        <v>136</v>
      </c>
      <c r="B60" s="16" t="s">
        <v>178</v>
      </c>
      <c r="C60" s="16" t="s">
        <v>138</v>
      </c>
      <c r="D60" s="16">
        <v>1</v>
      </c>
      <c r="E60" s="16">
        <v>17</v>
      </c>
      <c r="F60" s="16" t="s">
        <v>139</v>
      </c>
      <c r="G60" s="16" t="s">
        <v>179</v>
      </c>
      <c r="H60" s="16" t="s">
        <v>85</v>
      </c>
      <c r="I60" s="16" t="s">
        <v>67</v>
      </c>
      <c r="J60" s="17">
        <v>2022</v>
      </c>
      <c r="K60" s="16" t="s">
        <v>64</v>
      </c>
      <c r="L60" s="16"/>
      <c r="M60" s="16" t="s">
        <v>32</v>
      </c>
      <c r="N60" s="18">
        <f t="shared" si="0"/>
        <v>0.68</v>
      </c>
      <c r="O60" s="31">
        <v>0.68</v>
      </c>
      <c r="P60" s="31"/>
      <c r="Q60" s="18">
        <f t="shared" si="1"/>
        <v>45.6</v>
      </c>
      <c r="R60" s="31">
        <v>45.6</v>
      </c>
      <c r="S60" s="31"/>
      <c r="T60" s="19">
        <f t="shared" si="2"/>
        <v>0</v>
      </c>
      <c r="U60" s="31">
        <v>0</v>
      </c>
      <c r="V60" s="31"/>
      <c r="W60" s="16" t="s">
        <v>33</v>
      </c>
      <c r="X60" s="152" t="s">
        <v>34</v>
      </c>
      <c r="Y60" s="152" t="s">
        <v>34</v>
      </c>
      <c r="Z60" s="28" t="s">
        <v>544</v>
      </c>
    </row>
    <row r="61" spans="1:26" ht="15" customHeight="1" x14ac:dyDescent="0.25">
      <c r="A61" s="16" t="s">
        <v>136</v>
      </c>
      <c r="B61" s="16" t="s">
        <v>180</v>
      </c>
      <c r="C61" s="16" t="s">
        <v>138</v>
      </c>
      <c r="D61" s="16">
        <v>1</v>
      </c>
      <c r="E61" s="16">
        <v>18</v>
      </c>
      <c r="F61" s="16" t="s">
        <v>139</v>
      </c>
      <c r="G61" s="16" t="s">
        <v>181</v>
      </c>
      <c r="H61" s="16" t="s">
        <v>85</v>
      </c>
      <c r="I61" s="16" t="s">
        <v>67</v>
      </c>
      <c r="J61" s="17"/>
      <c r="K61" s="16" t="s">
        <v>64</v>
      </c>
      <c r="L61" s="16"/>
      <c r="M61" s="16" t="s">
        <v>32</v>
      </c>
      <c r="N61" s="18">
        <f t="shared" si="0"/>
        <v>1.1399999999999999</v>
      </c>
      <c r="O61" s="20">
        <v>1.1399999999999999</v>
      </c>
      <c r="P61" s="20"/>
      <c r="Q61" s="18">
        <f t="shared" si="1"/>
        <v>91.2</v>
      </c>
      <c r="R61" s="20">
        <v>91.2</v>
      </c>
      <c r="S61" s="20"/>
      <c r="T61" s="19">
        <f t="shared" si="2"/>
        <v>22.8</v>
      </c>
      <c r="U61" s="20">
        <v>22.8</v>
      </c>
      <c r="V61" s="20"/>
      <c r="W61" s="16" t="s">
        <v>33</v>
      </c>
      <c r="X61" s="152" t="s">
        <v>34</v>
      </c>
      <c r="Y61" s="152" t="s">
        <v>34</v>
      </c>
      <c r="Z61" s="28" t="s">
        <v>544</v>
      </c>
    </row>
    <row r="62" spans="1:26" ht="15" customHeight="1" x14ac:dyDescent="0.25">
      <c r="A62" s="42" t="s">
        <v>136</v>
      </c>
      <c r="B62" s="42" t="s">
        <v>182</v>
      </c>
      <c r="C62" s="42" t="s">
        <v>138</v>
      </c>
      <c r="D62" s="42">
        <v>2</v>
      </c>
      <c r="E62" s="42">
        <v>1</v>
      </c>
      <c r="F62" s="42" t="s">
        <v>183</v>
      </c>
      <c r="G62" s="42" t="s">
        <v>184</v>
      </c>
      <c r="H62" s="42" t="s">
        <v>28</v>
      </c>
      <c r="I62" s="42" t="s">
        <v>29</v>
      </c>
      <c r="J62" s="43">
        <v>1981</v>
      </c>
      <c r="K62" s="42" t="s">
        <v>70</v>
      </c>
      <c r="L62" s="42"/>
      <c r="M62" s="42" t="s">
        <v>32</v>
      </c>
      <c r="N62" s="45">
        <f t="shared" si="0"/>
        <v>0</v>
      </c>
      <c r="O62" s="108"/>
      <c r="P62" s="108"/>
      <c r="Q62" s="45">
        <f t="shared" si="1"/>
        <v>0</v>
      </c>
      <c r="R62" s="108"/>
      <c r="S62" s="108"/>
      <c r="T62" s="46">
        <f t="shared" si="2"/>
        <v>0</v>
      </c>
      <c r="U62" s="108"/>
      <c r="V62" s="108"/>
      <c r="W62" s="42" t="s">
        <v>33</v>
      </c>
      <c r="X62" s="42" t="s">
        <v>34</v>
      </c>
      <c r="Y62" s="42" t="s">
        <v>44</v>
      </c>
      <c r="Z62" s="28" t="s">
        <v>544</v>
      </c>
    </row>
    <row r="63" spans="1:26" ht="15" customHeight="1" x14ac:dyDescent="0.25">
      <c r="A63" s="42" t="s">
        <v>136</v>
      </c>
      <c r="B63" s="42" t="s">
        <v>185</v>
      </c>
      <c r="C63" s="42" t="s">
        <v>138</v>
      </c>
      <c r="D63" s="42">
        <v>2</v>
      </c>
      <c r="E63" s="42">
        <v>2</v>
      </c>
      <c r="F63" s="42" t="s">
        <v>183</v>
      </c>
      <c r="G63" s="42" t="s">
        <v>186</v>
      </c>
      <c r="H63" s="42" t="s">
        <v>28</v>
      </c>
      <c r="I63" s="42" t="s">
        <v>29</v>
      </c>
      <c r="J63" s="43">
        <v>1957</v>
      </c>
      <c r="K63" s="42" t="s">
        <v>70</v>
      </c>
      <c r="L63" s="42"/>
      <c r="M63" s="42" t="s">
        <v>32</v>
      </c>
      <c r="N63" s="45">
        <f t="shared" si="0"/>
        <v>0</v>
      </c>
      <c r="O63" s="108"/>
      <c r="P63" s="108"/>
      <c r="Q63" s="45">
        <f t="shared" si="1"/>
        <v>0</v>
      </c>
      <c r="R63" s="108"/>
      <c r="S63" s="108"/>
      <c r="T63" s="46">
        <f t="shared" si="2"/>
        <v>0</v>
      </c>
      <c r="U63" s="108"/>
      <c r="V63" s="108"/>
      <c r="W63" s="42" t="s">
        <v>33</v>
      </c>
      <c r="X63" s="42" t="s">
        <v>34</v>
      </c>
      <c r="Y63" s="42" t="s">
        <v>44</v>
      </c>
      <c r="Z63" s="28" t="s">
        <v>544</v>
      </c>
    </row>
    <row r="64" spans="1:26" s="26" customFormat="1" ht="15" customHeight="1" x14ac:dyDescent="0.25">
      <c r="A64" s="109" t="s">
        <v>136</v>
      </c>
      <c r="B64" s="21" t="s">
        <v>187</v>
      </c>
      <c r="C64" s="21" t="s">
        <v>138</v>
      </c>
      <c r="D64" s="21">
        <v>2</v>
      </c>
      <c r="E64" s="21"/>
      <c r="F64" s="110" t="s">
        <v>183</v>
      </c>
      <c r="G64" s="110" t="s">
        <v>188</v>
      </c>
      <c r="H64" s="21" t="s">
        <v>28</v>
      </c>
      <c r="I64" s="21" t="s">
        <v>29</v>
      </c>
      <c r="J64" s="22"/>
      <c r="K64" s="21" t="s">
        <v>70</v>
      </c>
      <c r="L64" s="21"/>
      <c r="M64" s="21" t="s">
        <v>32</v>
      </c>
      <c r="N64" s="23">
        <f t="shared" si="0"/>
        <v>33.112400000000001</v>
      </c>
      <c r="O64" s="24">
        <v>33.112400000000001</v>
      </c>
      <c r="P64" s="24"/>
      <c r="Q64" s="23">
        <f t="shared" si="1"/>
        <v>556</v>
      </c>
      <c r="R64" s="24">
        <v>556</v>
      </c>
      <c r="S64" s="24"/>
      <c r="T64" s="25">
        <f t="shared" si="2"/>
        <v>342</v>
      </c>
      <c r="U64" s="24">
        <v>342</v>
      </c>
      <c r="V64" s="24"/>
      <c r="W64" s="21" t="s">
        <v>33</v>
      </c>
      <c r="X64" s="109" t="s">
        <v>44</v>
      </c>
      <c r="Y64" s="109" t="s">
        <v>34</v>
      </c>
      <c r="Z64" s="28" t="s">
        <v>544</v>
      </c>
    </row>
    <row r="65" spans="1:26" ht="17.25" customHeight="1" x14ac:dyDescent="0.25">
      <c r="A65" s="16" t="s">
        <v>189</v>
      </c>
      <c r="B65" s="16" t="s">
        <v>190</v>
      </c>
      <c r="C65" s="16" t="s">
        <v>191</v>
      </c>
      <c r="D65" s="16">
        <v>1</v>
      </c>
      <c r="E65" s="16">
        <v>1</v>
      </c>
      <c r="F65" s="16" t="s">
        <v>192</v>
      </c>
      <c r="G65" s="16" t="s">
        <v>560</v>
      </c>
      <c r="H65" s="16" t="s">
        <v>28</v>
      </c>
      <c r="I65" s="16" t="s">
        <v>29</v>
      </c>
      <c r="J65" s="17">
        <v>2013</v>
      </c>
      <c r="K65" s="16" t="s">
        <v>64</v>
      </c>
      <c r="L65" s="16"/>
      <c r="M65" s="16" t="s">
        <v>32</v>
      </c>
      <c r="N65" s="18">
        <f t="shared" si="0"/>
        <v>6.86</v>
      </c>
      <c r="O65" s="20">
        <v>6.86</v>
      </c>
      <c r="P65" s="20"/>
      <c r="Q65" s="18">
        <f t="shared" si="1"/>
        <v>145.80000000000001</v>
      </c>
      <c r="R65" s="20">
        <v>145.80000000000001</v>
      </c>
      <c r="S65" s="20"/>
      <c r="T65" s="19">
        <f t="shared" si="2"/>
        <v>99.9</v>
      </c>
      <c r="U65" s="20">
        <v>99.9</v>
      </c>
      <c r="V65" s="20"/>
      <c r="W65" s="16" t="s">
        <v>33</v>
      </c>
      <c r="X65" s="152" t="s">
        <v>34</v>
      </c>
      <c r="Y65" s="152" t="s">
        <v>34</v>
      </c>
      <c r="Z65" s="28" t="s">
        <v>544</v>
      </c>
    </row>
    <row r="66" spans="1:26" s="54" customFormat="1" ht="17.25" customHeight="1" x14ac:dyDescent="0.25">
      <c r="A66" s="16" t="s">
        <v>189</v>
      </c>
      <c r="B66" s="16" t="s">
        <v>193</v>
      </c>
      <c r="C66" s="16" t="s">
        <v>191</v>
      </c>
      <c r="D66" s="16">
        <v>1</v>
      </c>
      <c r="E66" s="16">
        <v>2</v>
      </c>
      <c r="F66" s="16" t="s">
        <v>192</v>
      </c>
      <c r="G66" s="16" t="s">
        <v>560</v>
      </c>
      <c r="H66" s="16" t="s">
        <v>66</v>
      </c>
      <c r="I66" s="16" t="s">
        <v>67</v>
      </c>
      <c r="J66" s="17">
        <v>2018</v>
      </c>
      <c r="K66" s="16" t="s">
        <v>64</v>
      </c>
      <c r="L66" s="16"/>
      <c r="M66" s="16" t="s">
        <v>32</v>
      </c>
      <c r="N66" s="28">
        <f t="shared" si="0"/>
        <v>0</v>
      </c>
      <c r="O66" s="111"/>
      <c r="P66" s="20"/>
      <c r="Q66" s="28">
        <f t="shared" si="1"/>
        <v>0</v>
      </c>
      <c r="R66" s="111"/>
      <c r="S66" s="20"/>
      <c r="T66" s="29">
        <f t="shared" si="2"/>
        <v>0</v>
      </c>
      <c r="U66" s="111"/>
      <c r="V66" s="20"/>
      <c r="W66" s="16" t="s">
        <v>33</v>
      </c>
      <c r="X66" s="152" t="s">
        <v>34</v>
      </c>
      <c r="Y66" s="152" t="s">
        <v>34</v>
      </c>
      <c r="Z66" s="28" t="s">
        <v>544</v>
      </c>
    </row>
    <row r="67" spans="1:26" ht="17.25" customHeight="1" x14ac:dyDescent="0.25">
      <c r="A67" s="16" t="s">
        <v>189</v>
      </c>
      <c r="B67" s="16" t="s">
        <v>194</v>
      </c>
      <c r="C67" s="16" t="s">
        <v>191</v>
      </c>
      <c r="D67" s="16">
        <v>1</v>
      </c>
      <c r="E67" s="16">
        <v>3</v>
      </c>
      <c r="F67" s="16" t="s">
        <v>192</v>
      </c>
      <c r="G67" s="16" t="s">
        <v>195</v>
      </c>
      <c r="H67" s="16" t="s">
        <v>28</v>
      </c>
      <c r="I67" s="16" t="s">
        <v>29</v>
      </c>
      <c r="J67" s="17">
        <v>1993</v>
      </c>
      <c r="K67" s="16" t="s">
        <v>30</v>
      </c>
      <c r="L67" s="16" t="s">
        <v>31</v>
      </c>
      <c r="M67" s="16" t="s">
        <v>32</v>
      </c>
      <c r="N67" s="18">
        <f t="shared" ref="N67:N129" si="3">O67+P67</f>
        <v>48.62</v>
      </c>
      <c r="O67" s="20">
        <v>48.62</v>
      </c>
      <c r="P67" s="20"/>
      <c r="Q67" s="18">
        <f t="shared" ref="Q67:Q129" si="4">R67+S67</f>
        <v>530.4</v>
      </c>
      <c r="R67" s="20">
        <v>530.4</v>
      </c>
      <c r="S67" s="20"/>
      <c r="T67" s="19">
        <f t="shared" ref="T67:T129" si="5">U67+V67</f>
        <v>344.76</v>
      </c>
      <c r="U67" s="20">
        <v>344.76</v>
      </c>
      <c r="V67" s="20"/>
      <c r="W67" s="16" t="s">
        <v>33</v>
      </c>
      <c r="X67" s="152" t="s">
        <v>34</v>
      </c>
      <c r="Y67" s="152" t="s">
        <v>34</v>
      </c>
      <c r="Z67" s="28" t="s">
        <v>544</v>
      </c>
    </row>
    <row r="68" spans="1:26" ht="15" customHeight="1" x14ac:dyDescent="0.25">
      <c r="A68" s="16" t="s">
        <v>189</v>
      </c>
      <c r="B68" s="16" t="s">
        <v>196</v>
      </c>
      <c r="C68" s="16" t="s">
        <v>191</v>
      </c>
      <c r="D68" s="16">
        <v>2</v>
      </c>
      <c r="E68" s="16">
        <v>1</v>
      </c>
      <c r="F68" s="16" t="s">
        <v>197</v>
      </c>
      <c r="G68" s="16" t="s">
        <v>198</v>
      </c>
      <c r="H68" s="16" t="s">
        <v>28</v>
      </c>
      <c r="I68" s="16" t="s">
        <v>29</v>
      </c>
      <c r="J68" s="17">
        <v>1973</v>
      </c>
      <c r="K68" s="16" t="s">
        <v>30</v>
      </c>
      <c r="L68" s="16" t="s">
        <v>31</v>
      </c>
      <c r="M68" s="16" t="s">
        <v>32</v>
      </c>
      <c r="N68" s="18">
        <f t="shared" si="3"/>
        <v>4.1208499999999999</v>
      </c>
      <c r="O68" s="20">
        <v>4.1208499999999999</v>
      </c>
      <c r="P68" s="20"/>
      <c r="Q68" s="18">
        <f t="shared" si="4"/>
        <v>65.03</v>
      </c>
      <c r="R68" s="20">
        <v>65.03</v>
      </c>
      <c r="S68" s="20"/>
      <c r="T68" s="19">
        <f t="shared" si="5"/>
        <v>37.93</v>
      </c>
      <c r="U68" s="20">
        <v>37.93</v>
      </c>
      <c r="V68" s="20"/>
      <c r="W68" s="16" t="s">
        <v>33</v>
      </c>
      <c r="X68" s="152" t="s">
        <v>34</v>
      </c>
      <c r="Y68" s="152" t="s">
        <v>34</v>
      </c>
      <c r="Z68" s="28" t="s">
        <v>544</v>
      </c>
    </row>
    <row r="69" spans="1:26" ht="15" customHeight="1" x14ac:dyDescent="0.3">
      <c r="A69" s="16" t="s">
        <v>189</v>
      </c>
      <c r="B69" s="112" t="str">
        <f t="shared" ref="B69:B99" si="6">CONCATENATE(C69,D69,E69)</f>
        <v>DE31</v>
      </c>
      <c r="C69" s="16" t="s">
        <v>191</v>
      </c>
      <c r="D69" s="16">
        <v>3</v>
      </c>
      <c r="E69" s="16">
        <v>1</v>
      </c>
      <c r="F69" s="16" t="s">
        <v>199</v>
      </c>
      <c r="G69" s="16" t="s">
        <v>200</v>
      </c>
      <c r="H69" s="16" t="s">
        <v>28</v>
      </c>
      <c r="I69" s="16" t="s">
        <v>29</v>
      </c>
      <c r="J69" s="17">
        <v>2012</v>
      </c>
      <c r="K69" s="16" t="s">
        <v>64</v>
      </c>
      <c r="L69" s="16"/>
      <c r="M69" s="16" t="s">
        <v>32</v>
      </c>
      <c r="N69" s="18">
        <f t="shared" si="3"/>
        <v>2.4209999999999998</v>
      </c>
      <c r="O69" s="31">
        <v>2.4209999999999998</v>
      </c>
      <c r="P69" s="31"/>
      <c r="Q69" s="18">
        <f t="shared" si="4"/>
        <v>94.08</v>
      </c>
      <c r="R69" s="31">
        <f>3.92*24</f>
        <v>94.08</v>
      </c>
      <c r="S69" s="31"/>
      <c r="T69" s="19">
        <f t="shared" si="5"/>
        <v>54</v>
      </c>
      <c r="U69" s="31">
        <f>2.25*24</f>
        <v>54</v>
      </c>
      <c r="V69" s="31"/>
      <c r="W69" s="16" t="s">
        <v>33</v>
      </c>
      <c r="X69" s="152" t="s">
        <v>34</v>
      </c>
      <c r="Y69" s="152" t="s">
        <v>34</v>
      </c>
      <c r="Z69" s="28" t="s">
        <v>544</v>
      </c>
    </row>
    <row r="70" spans="1:26" ht="15" customHeight="1" x14ac:dyDescent="0.3">
      <c r="A70" s="16" t="s">
        <v>189</v>
      </c>
      <c r="B70" s="112" t="str">
        <f t="shared" si="6"/>
        <v>DE41</v>
      </c>
      <c r="C70" s="16" t="s">
        <v>191</v>
      </c>
      <c r="D70" s="16">
        <v>4</v>
      </c>
      <c r="E70" s="16">
        <v>1</v>
      </c>
      <c r="F70" s="16" t="s">
        <v>201</v>
      </c>
      <c r="G70" s="16" t="s">
        <v>202</v>
      </c>
      <c r="H70" s="16" t="s">
        <v>28</v>
      </c>
      <c r="I70" s="16" t="s">
        <v>29</v>
      </c>
      <c r="J70" s="17">
        <v>1982</v>
      </c>
      <c r="K70" s="16" t="s">
        <v>30</v>
      </c>
      <c r="L70" s="16"/>
      <c r="M70" s="16" t="s">
        <v>32</v>
      </c>
      <c r="N70" s="18">
        <f t="shared" si="3"/>
        <v>4.7679999999999998</v>
      </c>
      <c r="O70" s="20">
        <v>4.7679999999999998</v>
      </c>
      <c r="P70" s="20"/>
      <c r="Q70" s="18">
        <f t="shared" si="4"/>
        <v>80.64</v>
      </c>
      <c r="R70" s="20">
        <v>80.64</v>
      </c>
      <c r="S70" s="20"/>
      <c r="T70" s="19">
        <f t="shared" si="5"/>
        <v>53.76</v>
      </c>
      <c r="U70" s="20">
        <v>53.76</v>
      </c>
      <c r="V70" s="20"/>
      <c r="W70" s="16" t="s">
        <v>33</v>
      </c>
      <c r="X70" s="152" t="s">
        <v>34</v>
      </c>
      <c r="Y70" s="152" t="s">
        <v>34</v>
      </c>
      <c r="Z70" s="28" t="s">
        <v>544</v>
      </c>
    </row>
    <row r="71" spans="1:26" ht="15" customHeight="1" x14ac:dyDescent="0.3">
      <c r="A71" s="16" t="s">
        <v>189</v>
      </c>
      <c r="B71" s="112" t="str">
        <f t="shared" si="6"/>
        <v>DE51</v>
      </c>
      <c r="C71" s="16" t="s">
        <v>191</v>
      </c>
      <c r="D71" s="16">
        <v>5</v>
      </c>
      <c r="E71" s="16">
        <v>1</v>
      </c>
      <c r="F71" s="16" t="s">
        <v>203</v>
      </c>
      <c r="G71" s="16" t="s">
        <v>204</v>
      </c>
      <c r="H71" s="16" t="s">
        <v>28</v>
      </c>
      <c r="I71" s="16" t="s">
        <v>29</v>
      </c>
      <c r="J71" s="17">
        <v>2012</v>
      </c>
      <c r="K71" s="16" t="s">
        <v>64</v>
      </c>
      <c r="L71" s="16"/>
      <c r="M71" s="16" t="s">
        <v>32</v>
      </c>
      <c r="N71" s="18">
        <f t="shared" si="3"/>
        <v>11.202</v>
      </c>
      <c r="O71" s="20">
        <f>5616/1000+5586/1000</f>
        <v>11.202</v>
      </c>
      <c r="P71" s="20"/>
      <c r="Q71" s="18">
        <f t="shared" si="4"/>
        <v>216.95999999999998</v>
      </c>
      <c r="R71" s="20">
        <f>2728*24/1000+6312*24/1000</f>
        <v>216.95999999999998</v>
      </c>
      <c r="S71" s="20"/>
      <c r="T71" s="19">
        <f t="shared" si="5"/>
        <v>122.04</v>
      </c>
      <c r="U71" s="20">
        <f>1566*24/1000+3519*24/1000</f>
        <v>122.04</v>
      </c>
      <c r="V71" s="20"/>
      <c r="W71" s="16" t="s">
        <v>33</v>
      </c>
      <c r="X71" s="152" t="s">
        <v>34</v>
      </c>
      <c r="Y71" s="152" t="s">
        <v>34</v>
      </c>
      <c r="Z71" s="28" t="s">
        <v>544</v>
      </c>
    </row>
    <row r="72" spans="1:26" ht="17.25" customHeight="1" x14ac:dyDescent="0.3">
      <c r="A72" s="16" t="s">
        <v>189</v>
      </c>
      <c r="B72" s="112" t="str">
        <f t="shared" si="6"/>
        <v>DE61</v>
      </c>
      <c r="C72" s="16" t="s">
        <v>191</v>
      </c>
      <c r="D72" s="16">
        <v>6</v>
      </c>
      <c r="E72" s="16">
        <v>1</v>
      </c>
      <c r="F72" s="16" t="s">
        <v>205</v>
      </c>
      <c r="G72" s="16" t="s">
        <v>206</v>
      </c>
      <c r="H72" s="16" t="s">
        <v>28</v>
      </c>
      <c r="I72" s="16" t="s">
        <v>29</v>
      </c>
      <c r="J72" s="17">
        <v>2012</v>
      </c>
      <c r="K72" s="16" t="s">
        <v>64</v>
      </c>
      <c r="L72" s="16"/>
      <c r="M72" s="16" t="s">
        <v>32</v>
      </c>
      <c r="N72" s="18">
        <f t="shared" si="3"/>
        <v>2.4209999999999998</v>
      </c>
      <c r="O72" s="20">
        <f>2421/1000</f>
        <v>2.4209999999999998</v>
      </c>
      <c r="P72" s="20"/>
      <c r="Q72" s="18">
        <f t="shared" si="4"/>
        <v>94.08</v>
      </c>
      <c r="R72" s="20">
        <f>3920*24/1000</f>
        <v>94.08</v>
      </c>
      <c r="S72" s="20"/>
      <c r="T72" s="19">
        <f t="shared" si="5"/>
        <v>54</v>
      </c>
      <c r="U72" s="20">
        <f>2250*24/1000</f>
        <v>54</v>
      </c>
      <c r="V72" s="20"/>
      <c r="W72" s="16" t="s">
        <v>33</v>
      </c>
      <c r="X72" s="152" t="s">
        <v>34</v>
      </c>
      <c r="Y72" s="152" t="s">
        <v>34</v>
      </c>
      <c r="Z72" s="28" t="s">
        <v>544</v>
      </c>
    </row>
    <row r="73" spans="1:26" ht="17.25" customHeight="1" x14ac:dyDescent="0.3">
      <c r="A73" s="16" t="s">
        <v>189</v>
      </c>
      <c r="B73" s="112" t="str">
        <f t="shared" si="6"/>
        <v>DE71</v>
      </c>
      <c r="C73" s="16" t="s">
        <v>191</v>
      </c>
      <c r="D73" s="16">
        <v>7</v>
      </c>
      <c r="E73" s="16">
        <v>1</v>
      </c>
      <c r="F73" s="16" t="s">
        <v>207</v>
      </c>
      <c r="G73" s="16" t="s">
        <v>208</v>
      </c>
      <c r="H73" s="16" t="s">
        <v>28</v>
      </c>
      <c r="I73" s="16" t="s">
        <v>29</v>
      </c>
      <c r="J73" s="17">
        <v>2012</v>
      </c>
      <c r="K73" s="16" t="s">
        <v>64</v>
      </c>
      <c r="L73" s="16"/>
      <c r="M73" s="16" t="s">
        <v>32</v>
      </c>
      <c r="N73" s="18">
        <f t="shared" si="3"/>
        <v>1.43520001</v>
      </c>
      <c r="O73" s="31">
        <v>1.43520001</v>
      </c>
      <c r="P73" s="31"/>
      <c r="Q73" s="18">
        <f t="shared" si="4"/>
        <v>93.6</v>
      </c>
      <c r="R73" s="31">
        <v>93.6</v>
      </c>
      <c r="S73" s="31"/>
      <c r="T73" s="19">
        <f t="shared" si="5"/>
        <v>93.6</v>
      </c>
      <c r="U73" s="31">
        <v>93.6</v>
      </c>
      <c r="V73" s="31"/>
      <c r="W73" s="16" t="s">
        <v>33</v>
      </c>
      <c r="X73" s="152" t="s">
        <v>34</v>
      </c>
      <c r="Y73" s="152" t="s">
        <v>34</v>
      </c>
      <c r="Z73" s="28" t="s">
        <v>544</v>
      </c>
    </row>
    <row r="74" spans="1:26" ht="17.25" customHeight="1" x14ac:dyDescent="0.3">
      <c r="A74" s="16" t="s">
        <v>189</v>
      </c>
      <c r="B74" s="112" t="str">
        <f t="shared" si="6"/>
        <v>DE81</v>
      </c>
      <c r="C74" s="16" t="s">
        <v>191</v>
      </c>
      <c r="D74" s="16">
        <v>8</v>
      </c>
      <c r="E74" s="16">
        <v>1</v>
      </c>
      <c r="F74" s="16" t="s">
        <v>209</v>
      </c>
      <c r="G74" s="16" t="s">
        <v>210</v>
      </c>
      <c r="H74" s="16" t="s">
        <v>28</v>
      </c>
      <c r="I74" s="16" t="s">
        <v>29</v>
      </c>
      <c r="J74" s="17">
        <v>1979</v>
      </c>
      <c r="K74" s="16" t="s">
        <v>70</v>
      </c>
      <c r="L74" s="16"/>
      <c r="M74" s="16" t="s">
        <v>32</v>
      </c>
      <c r="N74" s="18">
        <f t="shared" si="3"/>
        <v>0.88800000000000001</v>
      </c>
      <c r="O74" s="20">
        <f>(3700*240)/1000000</f>
        <v>0.88800000000000001</v>
      </c>
      <c r="P74" s="20"/>
      <c r="Q74" s="18">
        <f t="shared" si="4"/>
        <v>26.64</v>
      </c>
      <c r="R74" s="20">
        <f>240*4625*24/1000000</f>
        <v>26.64</v>
      </c>
      <c r="S74" s="20"/>
      <c r="T74" s="19">
        <f t="shared" si="5"/>
        <v>6.47424</v>
      </c>
      <c r="U74" s="20">
        <f>240*1124*24/1000000</f>
        <v>6.47424</v>
      </c>
      <c r="V74" s="20"/>
      <c r="W74" s="16" t="s">
        <v>33</v>
      </c>
      <c r="X74" s="152" t="s">
        <v>34</v>
      </c>
      <c r="Y74" s="152" t="s">
        <v>34</v>
      </c>
      <c r="Z74" s="28" t="s">
        <v>544</v>
      </c>
    </row>
    <row r="75" spans="1:26" ht="17.25" customHeight="1" x14ac:dyDescent="0.3">
      <c r="A75" s="16" t="s">
        <v>189</v>
      </c>
      <c r="B75" s="112" t="str">
        <f t="shared" si="6"/>
        <v>DE91</v>
      </c>
      <c r="C75" s="16" t="s">
        <v>191</v>
      </c>
      <c r="D75" s="16">
        <v>9</v>
      </c>
      <c r="E75" s="16">
        <v>1</v>
      </c>
      <c r="F75" s="16" t="s">
        <v>211</v>
      </c>
      <c r="G75" s="16" t="s">
        <v>212</v>
      </c>
      <c r="H75" s="16" t="s">
        <v>28</v>
      </c>
      <c r="I75" s="16" t="s">
        <v>29</v>
      </c>
      <c r="J75" s="17">
        <v>2012</v>
      </c>
      <c r="K75" s="16" t="s">
        <v>64</v>
      </c>
      <c r="L75" s="16"/>
      <c r="M75" s="16" t="s">
        <v>32</v>
      </c>
      <c r="N75" s="18">
        <f t="shared" si="3"/>
        <v>1.8169999999999999</v>
      </c>
      <c r="O75" s="20">
        <f>158*11.5/1000</f>
        <v>1.8169999999999999</v>
      </c>
      <c r="P75" s="20"/>
      <c r="Q75" s="18">
        <f t="shared" si="4"/>
        <v>0</v>
      </c>
      <c r="R75" s="20"/>
      <c r="S75" s="20"/>
      <c r="T75" s="19">
        <f t="shared" si="5"/>
        <v>0</v>
      </c>
      <c r="U75" s="20"/>
      <c r="V75" s="20"/>
      <c r="W75" s="16" t="s">
        <v>33</v>
      </c>
      <c r="X75" s="152" t="s">
        <v>34</v>
      </c>
      <c r="Y75" s="152" t="s">
        <v>34</v>
      </c>
      <c r="Z75" s="28" t="s">
        <v>544</v>
      </c>
    </row>
    <row r="76" spans="1:26" ht="17.25" customHeight="1" x14ac:dyDescent="0.3">
      <c r="A76" s="16" t="str">
        <f>A75</f>
        <v>Germany</v>
      </c>
      <c r="B76" s="112" t="str">
        <f t="shared" si="6"/>
        <v>DE92</v>
      </c>
      <c r="C76" s="16" t="s">
        <v>191</v>
      </c>
      <c r="D76" s="16">
        <v>9</v>
      </c>
      <c r="E76" s="16">
        <v>2</v>
      </c>
      <c r="F76" s="16" t="str">
        <f>F75</f>
        <v>Erdgasspeicher Peissen</v>
      </c>
      <c r="G76" s="16" t="str">
        <f>G75</f>
        <v>Katharina</v>
      </c>
      <c r="H76" s="16" t="s">
        <v>85</v>
      </c>
      <c r="I76" s="16" t="s">
        <v>67</v>
      </c>
      <c r="J76" s="17">
        <v>2025</v>
      </c>
      <c r="K76" s="16" t="str">
        <f>K75</f>
        <v>Salt cavern</v>
      </c>
      <c r="L76" s="16"/>
      <c r="M76" s="16" t="s">
        <v>32</v>
      </c>
      <c r="N76" s="18">
        <f t="shared" si="3"/>
        <v>5.0830000000000002</v>
      </c>
      <c r="O76" s="20">
        <f>600*11.5/1000-O75</f>
        <v>5.0830000000000002</v>
      </c>
      <c r="P76" s="20"/>
      <c r="Q76" s="18">
        <f t="shared" si="4"/>
        <v>0.27600000000000002</v>
      </c>
      <c r="R76" s="20">
        <f>24*11.5/1000</f>
        <v>0.27600000000000002</v>
      </c>
      <c r="S76" s="20"/>
      <c r="T76" s="19">
        <f t="shared" si="5"/>
        <v>0.13800000000000001</v>
      </c>
      <c r="U76" s="20">
        <f>12*11.5/1000</f>
        <v>0.13800000000000001</v>
      </c>
      <c r="V76" s="20"/>
      <c r="W76" s="16" t="s">
        <v>33</v>
      </c>
      <c r="X76" s="152" t="s">
        <v>34</v>
      </c>
      <c r="Y76" s="152" t="s">
        <v>34</v>
      </c>
      <c r="Z76" s="28" t="s">
        <v>544</v>
      </c>
    </row>
    <row r="77" spans="1:26" ht="17.25" customHeight="1" x14ac:dyDescent="0.3">
      <c r="A77" s="16" t="s">
        <v>189</v>
      </c>
      <c r="B77" s="112" t="str">
        <f t="shared" si="6"/>
        <v>DE101</v>
      </c>
      <c r="C77" s="16" t="s">
        <v>191</v>
      </c>
      <c r="D77" s="16">
        <v>10</v>
      </c>
      <c r="E77" s="16">
        <v>1</v>
      </c>
      <c r="F77" s="16" t="s">
        <v>213</v>
      </c>
      <c r="G77" s="16" t="s">
        <v>214</v>
      </c>
      <c r="H77" s="16" t="s">
        <v>28</v>
      </c>
      <c r="I77" s="16" t="s">
        <v>29</v>
      </c>
      <c r="J77" s="17">
        <v>1972</v>
      </c>
      <c r="K77" s="16" t="s">
        <v>64</v>
      </c>
      <c r="L77" s="16"/>
      <c r="M77" s="16" t="s">
        <v>32</v>
      </c>
      <c r="N77" s="18">
        <f t="shared" si="3"/>
        <v>9.4700000000000006</v>
      </c>
      <c r="O77" s="20">
        <v>9.4700000000000006</v>
      </c>
      <c r="P77" s="20"/>
      <c r="Q77" s="18">
        <f t="shared" si="4"/>
        <v>246.96</v>
      </c>
      <c r="R77" s="20">
        <v>246.96</v>
      </c>
      <c r="S77" s="20"/>
      <c r="T77" s="19">
        <f t="shared" si="5"/>
        <v>91.73</v>
      </c>
      <c r="U77" s="20">
        <v>91.73</v>
      </c>
      <c r="V77" s="20"/>
      <c r="W77" s="16" t="s">
        <v>33</v>
      </c>
      <c r="X77" s="152" t="s">
        <v>34</v>
      </c>
      <c r="Y77" s="152" t="s">
        <v>34</v>
      </c>
      <c r="Z77" s="28" t="s">
        <v>544</v>
      </c>
    </row>
    <row r="78" spans="1:26" ht="17.25" customHeight="1" x14ac:dyDescent="0.3">
      <c r="A78" s="16" t="s">
        <v>189</v>
      </c>
      <c r="B78" s="112" t="str">
        <f t="shared" si="6"/>
        <v>DE102</v>
      </c>
      <c r="C78" s="16" t="s">
        <v>191</v>
      </c>
      <c r="D78" s="16">
        <v>10</v>
      </c>
      <c r="E78" s="16">
        <v>2</v>
      </c>
      <c r="F78" s="16" t="s">
        <v>213</v>
      </c>
      <c r="G78" s="16" t="s">
        <v>215</v>
      </c>
      <c r="H78" s="16" t="s">
        <v>28</v>
      </c>
      <c r="I78" s="16" t="s">
        <v>29</v>
      </c>
      <c r="J78" s="17">
        <v>2013</v>
      </c>
      <c r="K78" s="16" t="s">
        <v>64</v>
      </c>
      <c r="L78" s="16"/>
      <c r="M78" s="16" t="s">
        <v>32</v>
      </c>
      <c r="N78" s="18">
        <f t="shared" si="3"/>
        <v>3.98</v>
      </c>
      <c r="O78" s="20">
        <v>3.98</v>
      </c>
      <c r="P78" s="20"/>
      <c r="Q78" s="18">
        <f t="shared" si="4"/>
        <v>69</v>
      </c>
      <c r="R78" s="20">
        <v>69</v>
      </c>
      <c r="S78" s="20"/>
      <c r="T78" s="19">
        <f t="shared" si="5"/>
        <v>55.2</v>
      </c>
      <c r="U78" s="20">
        <v>55.2</v>
      </c>
      <c r="V78" s="20"/>
      <c r="W78" s="16" t="s">
        <v>33</v>
      </c>
      <c r="X78" s="152" t="s">
        <v>34</v>
      </c>
      <c r="Y78" s="152" t="s">
        <v>34</v>
      </c>
      <c r="Z78" s="28" t="s">
        <v>544</v>
      </c>
    </row>
    <row r="79" spans="1:26" ht="17.25" customHeight="1" x14ac:dyDescent="0.3">
      <c r="A79" s="16" t="s">
        <v>189</v>
      </c>
      <c r="B79" s="112" t="str">
        <f t="shared" si="6"/>
        <v>DE104</v>
      </c>
      <c r="C79" s="16" t="s">
        <v>191</v>
      </c>
      <c r="D79" s="16">
        <v>10</v>
      </c>
      <c r="E79" s="16">
        <v>4</v>
      </c>
      <c r="F79" s="16" t="s">
        <v>213</v>
      </c>
      <c r="G79" s="16" t="s">
        <v>216</v>
      </c>
      <c r="H79" s="16" t="s">
        <v>28</v>
      </c>
      <c r="I79" s="16" t="s">
        <v>29</v>
      </c>
      <c r="J79" s="17">
        <v>1979</v>
      </c>
      <c r="K79" s="16" t="s">
        <v>64</v>
      </c>
      <c r="L79" s="16"/>
      <c r="M79" s="16" t="s">
        <v>32</v>
      </c>
      <c r="N79" s="18">
        <f t="shared" si="3"/>
        <v>1.8320000000000001</v>
      </c>
      <c r="O79" s="20">
        <v>1.8320000000000001</v>
      </c>
      <c r="P79" s="20"/>
      <c r="Q79" s="18">
        <f t="shared" si="4"/>
        <v>69.599999999999994</v>
      </c>
      <c r="R79" s="20">
        <v>69.599999999999994</v>
      </c>
      <c r="S79" s="20"/>
      <c r="T79" s="19">
        <f t="shared" si="5"/>
        <v>48.72</v>
      </c>
      <c r="U79" s="20">
        <v>48.72</v>
      </c>
      <c r="V79" s="20"/>
      <c r="W79" s="16" t="s">
        <v>33</v>
      </c>
      <c r="X79" s="152" t="s">
        <v>34</v>
      </c>
      <c r="Y79" s="152" t="s">
        <v>34</v>
      </c>
      <c r="Z79" s="28" t="s">
        <v>544</v>
      </c>
    </row>
    <row r="80" spans="1:26" ht="17.25" customHeight="1" x14ac:dyDescent="0.3">
      <c r="A80" s="16" t="s">
        <v>189</v>
      </c>
      <c r="B80" s="112" t="str">
        <f t="shared" si="6"/>
        <v>DE105</v>
      </c>
      <c r="C80" s="16" t="s">
        <v>191</v>
      </c>
      <c r="D80" s="16">
        <v>10</v>
      </c>
      <c r="E80" s="16">
        <v>5</v>
      </c>
      <c r="F80" s="16" t="s">
        <v>213</v>
      </c>
      <c r="G80" s="16" t="s">
        <v>217</v>
      </c>
      <c r="H80" s="16" t="s">
        <v>28</v>
      </c>
      <c r="I80" s="16" t="s">
        <v>29</v>
      </c>
      <c r="J80" s="17">
        <v>1979</v>
      </c>
      <c r="K80" s="16" t="s">
        <v>64</v>
      </c>
      <c r="L80" s="16"/>
      <c r="M80" s="16" t="s">
        <v>32</v>
      </c>
      <c r="N80" s="18">
        <f t="shared" si="3"/>
        <v>1.9550000000000001</v>
      </c>
      <c r="O80" s="20">
        <v>1.9550000000000001</v>
      </c>
      <c r="P80" s="20"/>
      <c r="Q80" s="18">
        <f t="shared" si="4"/>
        <v>49.68</v>
      </c>
      <c r="R80" s="20">
        <v>49.68</v>
      </c>
      <c r="S80" s="20"/>
      <c r="T80" s="19">
        <f t="shared" si="5"/>
        <v>24.84</v>
      </c>
      <c r="U80" s="20">
        <v>24.84</v>
      </c>
      <c r="V80" s="20"/>
      <c r="W80" s="16" t="s">
        <v>33</v>
      </c>
      <c r="X80" s="152" t="s">
        <v>34</v>
      </c>
      <c r="Y80" s="152" t="s">
        <v>34</v>
      </c>
      <c r="Z80" s="28" t="s">
        <v>544</v>
      </c>
    </row>
    <row r="81" spans="1:26" ht="17.25" customHeight="1" x14ac:dyDescent="0.3">
      <c r="A81" s="16" t="s">
        <v>189</v>
      </c>
      <c r="B81" s="112" t="str">
        <f t="shared" si="6"/>
        <v>DE106</v>
      </c>
      <c r="C81" s="16" t="s">
        <v>191</v>
      </c>
      <c r="D81" s="16">
        <v>10</v>
      </c>
      <c r="E81" s="16">
        <v>6</v>
      </c>
      <c r="F81" s="16" t="s">
        <v>213</v>
      </c>
      <c r="G81" s="16" t="s">
        <v>218</v>
      </c>
      <c r="H81" s="16" t="s">
        <v>28</v>
      </c>
      <c r="I81" s="16" t="s">
        <v>29</v>
      </c>
      <c r="J81" s="17">
        <v>1979</v>
      </c>
      <c r="K81" s="16" t="s">
        <v>64</v>
      </c>
      <c r="L81" s="16"/>
      <c r="M81" s="16" t="s">
        <v>32</v>
      </c>
      <c r="N81" s="18">
        <f t="shared" si="3"/>
        <v>2.69</v>
      </c>
      <c r="O81" s="20">
        <v>2.69</v>
      </c>
      <c r="P81" s="20"/>
      <c r="Q81" s="18">
        <f t="shared" si="4"/>
        <v>82.08</v>
      </c>
      <c r="R81" s="20">
        <v>82.08</v>
      </c>
      <c r="S81" s="20"/>
      <c r="T81" s="19">
        <f t="shared" si="5"/>
        <v>41.04</v>
      </c>
      <c r="U81" s="20">
        <v>41.04</v>
      </c>
      <c r="V81" s="20"/>
      <c r="W81" s="16" t="s">
        <v>33</v>
      </c>
      <c r="X81" s="152" t="s">
        <v>34</v>
      </c>
      <c r="Y81" s="152" t="s">
        <v>34</v>
      </c>
      <c r="Z81" s="28" t="s">
        <v>544</v>
      </c>
    </row>
    <row r="82" spans="1:26" ht="17.25" customHeight="1" x14ac:dyDescent="0.3">
      <c r="A82" s="16" t="s">
        <v>189</v>
      </c>
      <c r="B82" s="112" t="str">
        <f t="shared" si="6"/>
        <v>DE107</v>
      </c>
      <c r="C82" s="16" t="s">
        <v>191</v>
      </c>
      <c r="D82" s="16">
        <v>10</v>
      </c>
      <c r="E82" s="16">
        <v>7</v>
      </c>
      <c r="F82" s="16" t="s">
        <v>213</v>
      </c>
      <c r="G82" s="16" t="s">
        <v>219</v>
      </c>
      <c r="H82" s="16" t="s">
        <v>28</v>
      </c>
      <c r="I82" s="16" t="s">
        <v>29</v>
      </c>
      <c r="J82" s="17">
        <v>1979</v>
      </c>
      <c r="K82" s="16" t="s">
        <v>64</v>
      </c>
      <c r="L82" s="16"/>
      <c r="M82" s="16" t="s">
        <v>32</v>
      </c>
      <c r="N82" s="18">
        <f t="shared" si="3"/>
        <v>0.43120000000000003</v>
      </c>
      <c r="O82" s="20">
        <v>0.43120000000000003</v>
      </c>
      <c r="P82" s="20"/>
      <c r="Q82" s="18">
        <f t="shared" si="4"/>
        <v>23.52</v>
      </c>
      <c r="R82" s="20">
        <v>23.52</v>
      </c>
      <c r="S82" s="20"/>
      <c r="T82" s="19">
        <f t="shared" si="5"/>
        <v>21.17</v>
      </c>
      <c r="U82" s="20">
        <v>21.17</v>
      </c>
      <c r="V82" s="20"/>
      <c r="W82" s="16" t="s">
        <v>33</v>
      </c>
      <c r="X82" s="152" t="s">
        <v>34</v>
      </c>
      <c r="Y82" s="152" t="s">
        <v>34</v>
      </c>
      <c r="Z82" s="28" t="s">
        <v>544</v>
      </c>
    </row>
    <row r="83" spans="1:26" ht="17.25" customHeight="1" x14ac:dyDescent="0.3">
      <c r="A83" s="16" t="s">
        <v>189</v>
      </c>
      <c r="B83" s="112" t="str">
        <f t="shared" si="6"/>
        <v>DE108</v>
      </c>
      <c r="C83" s="16" t="s">
        <v>191</v>
      </c>
      <c r="D83" s="16">
        <v>10</v>
      </c>
      <c r="E83" s="16">
        <v>8</v>
      </c>
      <c r="F83" s="16" t="s">
        <v>213</v>
      </c>
      <c r="G83" s="16" t="s">
        <v>220</v>
      </c>
      <c r="H83" s="16" t="s">
        <v>28</v>
      </c>
      <c r="I83" s="16" t="s">
        <v>29</v>
      </c>
      <c r="J83" s="17">
        <v>2007</v>
      </c>
      <c r="K83" s="16" t="s">
        <v>64</v>
      </c>
      <c r="L83" s="16"/>
      <c r="M83" s="16" t="s">
        <v>32</v>
      </c>
      <c r="N83" s="18">
        <f t="shared" si="3"/>
        <v>1.0767</v>
      </c>
      <c r="O83" s="20">
        <v>1.0767</v>
      </c>
      <c r="P83" s="20"/>
      <c r="Q83" s="18">
        <f t="shared" si="4"/>
        <v>32.770000000000003</v>
      </c>
      <c r="R83" s="20">
        <v>32.770000000000003</v>
      </c>
      <c r="S83" s="20"/>
      <c r="T83" s="19">
        <f t="shared" si="5"/>
        <v>10.66</v>
      </c>
      <c r="U83" s="20">
        <v>10.66</v>
      </c>
      <c r="V83" s="20"/>
      <c r="W83" s="16" t="s">
        <v>33</v>
      </c>
      <c r="X83" s="152" t="s">
        <v>34</v>
      </c>
      <c r="Y83" s="152" t="s">
        <v>34</v>
      </c>
      <c r="Z83" s="28" t="s">
        <v>544</v>
      </c>
    </row>
    <row r="84" spans="1:26" ht="17.25" customHeight="1" x14ac:dyDescent="0.3">
      <c r="A84" s="16" t="s">
        <v>189</v>
      </c>
      <c r="B84" s="112" t="str">
        <f t="shared" si="6"/>
        <v>DE111</v>
      </c>
      <c r="C84" s="16" t="s">
        <v>191</v>
      </c>
      <c r="D84" s="16">
        <v>11</v>
      </c>
      <c r="E84" s="16">
        <v>1</v>
      </c>
      <c r="F84" s="16" t="s">
        <v>221</v>
      </c>
      <c r="G84" s="16" t="s">
        <v>222</v>
      </c>
      <c r="H84" s="16" t="s">
        <v>28</v>
      </c>
      <c r="I84" s="16" t="s">
        <v>29</v>
      </c>
      <c r="J84" s="17">
        <v>1993</v>
      </c>
      <c r="K84" s="16" t="s">
        <v>64</v>
      </c>
      <c r="L84" s="16"/>
      <c r="M84" s="16" t="s">
        <v>32</v>
      </c>
      <c r="N84" s="18">
        <f t="shared" si="3"/>
        <v>2.2071999999999998</v>
      </c>
      <c r="O84" s="31">
        <v>2.2071999999999998</v>
      </c>
      <c r="P84" s="31"/>
      <c r="Q84" s="18">
        <f t="shared" si="4"/>
        <v>361.15199999999999</v>
      </c>
      <c r="R84" s="31">
        <v>361.15199999999999</v>
      </c>
      <c r="S84" s="31"/>
      <c r="T84" s="19">
        <f t="shared" si="5"/>
        <v>210.672</v>
      </c>
      <c r="U84" s="31">
        <v>210.672</v>
      </c>
      <c r="V84" s="31"/>
      <c r="W84" s="16" t="s">
        <v>33</v>
      </c>
      <c r="X84" s="152" t="s">
        <v>34</v>
      </c>
      <c r="Y84" s="152" t="s">
        <v>34</v>
      </c>
      <c r="Z84" s="28" t="s">
        <v>544</v>
      </c>
    </row>
    <row r="85" spans="1:26" ht="17.25" customHeight="1" x14ac:dyDescent="0.3">
      <c r="A85" s="16" t="s">
        <v>189</v>
      </c>
      <c r="B85" s="112" t="str">
        <f t="shared" si="6"/>
        <v>DE121</v>
      </c>
      <c r="C85" s="16" t="s">
        <v>191</v>
      </c>
      <c r="D85" s="16">
        <v>12</v>
      </c>
      <c r="E85" s="16">
        <v>1</v>
      </c>
      <c r="F85" s="16" t="s">
        <v>223</v>
      </c>
      <c r="G85" s="16" t="s">
        <v>224</v>
      </c>
      <c r="H85" s="16" t="s">
        <v>28</v>
      </c>
      <c r="I85" s="16" t="s">
        <v>29</v>
      </c>
      <c r="J85" s="17">
        <v>1982</v>
      </c>
      <c r="K85" s="16" t="s">
        <v>64</v>
      </c>
      <c r="L85" s="16"/>
      <c r="M85" s="16" t="s">
        <v>32</v>
      </c>
      <c r="N85" s="18">
        <f t="shared" si="3"/>
        <v>3.8294999999999999</v>
      </c>
      <c r="O85" s="20">
        <f>333*11.5/1000</f>
        <v>3.8294999999999999</v>
      </c>
      <c r="P85" s="20"/>
      <c r="Q85" s="18">
        <f t="shared" si="4"/>
        <v>140.76</v>
      </c>
      <c r="R85" s="20">
        <f>510000*11.5*24/1000000</f>
        <v>140.76</v>
      </c>
      <c r="S85" s="20"/>
      <c r="T85" s="19">
        <f t="shared" si="5"/>
        <v>44.16</v>
      </c>
      <c r="U85" s="20">
        <f>160000*11.5*24/1000000</f>
        <v>44.16</v>
      </c>
      <c r="V85" s="20"/>
      <c r="W85" s="16" t="s">
        <v>33</v>
      </c>
      <c r="X85" s="152" t="s">
        <v>34</v>
      </c>
      <c r="Y85" s="152" t="s">
        <v>34</v>
      </c>
      <c r="Z85" s="28" t="s">
        <v>544</v>
      </c>
    </row>
    <row r="86" spans="1:26" ht="17.25" customHeight="1" x14ac:dyDescent="0.3">
      <c r="A86" s="16" t="s">
        <v>189</v>
      </c>
      <c r="B86" s="112" t="str">
        <f t="shared" si="6"/>
        <v>DE122</v>
      </c>
      <c r="C86" s="16" t="s">
        <v>191</v>
      </c>
      <c r="D86" s="16">
        <v>12</v>
      </c>
      <c r="E86" s="16">
        <v>2</v>
      </c>
      <c r="F86" s="16" t="s">
        <v>223</v>
      </c>
      <c r="G86" s="16" t="s">
        <v>224</v>
      </c>
      <c r="H86" s="16" t="s">
        <v>85</v>
      </c>
      <c r="I86" s="16" t="s">
        <v>67</v>
      </c>
      <c r="J86" s="17"/>
      <c r="K86" s="16" t="s">
        <v>64</v>
      </c>
      <c r="L86" s="16"/>
      <c r="M86" s="16" t="s">
        <v>32</v>
      </c>
      <c r="N86" s="18">
        <f t="shared" si="3"/>
        <v>4.5999999999999996</v>
      </c>
      <c r="O86" s="20">
        <f>100*11.5/1000*4</f>
        <v>4.5999999999999996</v>
      </c>
      <c r="P86" s="20"/>
      <c r="Q86" s="18">
        <f t="shared" si="4"/>
        <v>187.67999999999998</v>
      </c>
      <c r="R86" s="20">
        <f>510000*11.5*24/1000000/3*4</f>
        <v>187.67999999999998</v>
      </c>
      <c r="S86" s="20"/>
      <c r="T86" s="19">
        <f t="shared" si="5"/>
        <v>58.879999999999995</v>
      </c>
      <c r="U86" s="20">
        <f>160000*11.5*24/1000000/3*4</f>
        <v>58.879999999999995</v>
      </c>
      <c r="V86" s="20"/>
      <c r="W86" s="16" t="s">
        <v>33</v>
      </c>
      <c r="X86" s="152" t="s">
        <v>34</v>
      </c>
      <c r="Y86" s="152" t="s">
        <v>34</v>
      </c>
      <c r="Z86" s="28" t="s">
        <v>544</v>
      </c>
    </row>
    <row r="87" spans="1:26" ht="17.25" customHeight="1" x14ac:dyDescent="0.3">
      <c r="A87" s="16" t="s">
        <v>189</v>
      </c>
      <c r="B87" s="112" t="str">
        <f t="shared" si="6"/>
        <v>DE131</v>
      </c>
      <c r="C87" s="16" t="s">
        <v>191</v>
      </c>
      <c r="D87" s="16">
        <v>13</v>
      </c>
      <c r="E87" s="16">
        <v>1</v>
      </c>
      <c r="F87" s="16" t="s">
        <v>225</v>
      </c>
      <c r="G87" s="16" t="s">
        <v>226</v>
      </c>
      <c r="H87" s="16" t="s">
        <v>28</v>
      </c>
      <c r="I87" s="16" t="s">
        <v>29</v>
      </c>
      <c r="J87" s="17">
        <v>2012</v>
      </c>
      <c r="K87" s="16" t="s">
        <v>64</v>
      </c>
      <c r="L87" s="16"/>
      <c r="M87" s="16" t="s">
        <v>32</v>
      </c>
      <c r="N87" s="18">
        <f t="shared" si="3"/>
        <v>1.5801000000000001</v>
      </c>
      <c r="O87" s="20">
        <f>137.4*11.5/1000</f>
        <v>1.5801000000000001</v>
      </c>
      <c r="P87" s="20"/>
      <c r="Q87" s="18">
        <f t="shared" si="4"/>
        <v>55.641599999999997</v>
      </c>
      <c r="R87" s="20">
        <f>(168000+33600)*11.5*24/1000000</f>
        <v>55.641599999999997</v>
      </c>
      <c r="S87" s="20"/>
      <c r="T87" s="19">
        <f t="shared" si="5"/>
        <v>31.795200000000001</v>
      </c>
      <c r="U87" s="20">
        <f>(104500+10700)*11.5*24/1000000</f>
        <v>31.795200000000001</v>
      </c>
      <c r="V87" s="20"/>
      <c r="W87" s="16" t="s">
        <v>33</v>
      </c>
      <c r="X87" s="152" t="s">
        <v>34</v>
      </c>
      <c r="Y87" s="152" t="s">
        <v>34</v>
      </c>
      <c r="Z87" s="28" t="s">
        <v>544</v>
      </c>
    </row>
    <row r="88" spans="1:26" ht="17.25" customHeight="1" x14ac:dyDescent="0.3">
      <c r="A88" s="16" t="s">
        <v>189</v>
      </c>
      <c r="B88" s="112" t="str">
        <f t="shared" si="6"/>
        <v>DE132</v>
      </c>
      <c r="C88" s="16" t="s">
        <v>191</v>
      </c>
      <c r="D88" s="16">
        <v>13</v>
      </c>
      <c r="E88" s="16">
        <v>2</v>
      </c>
      <c r="F88" s="16" t="s">
        <v>225</v>
      </c>
      <c r="G88" s="16" t="s">
        <v>227</v>
      </c>
      <c r="H88" s="16" t="s">
        <v>28</v>
      </c>
      <c r="I88" s="16" t="s">
        <v>29</v>
      </c>
      <c r="J88" s="17">
        <v>2001</v>
      </c>
      <c r="K88" s="16" t="s">
        <v>64</v>
      </c>
      <c r="L88" s="16"/>
      <c r="M88" s="16" t="s">
        <v>32</v>
      </c>
      <c r="N88" s="18">
        <f t="shared" si="3"/>
        <v>1.3225</v>
      </c>
      <c r="O88" s="20">
        <f>115*11.5/1000</f>
        <v>1.3225</v>
      </c>
      <c r="P88" s="20"/>
      <c r="Q88" s="18">
        <f t="shared" si="4"/>
        <v>27.6</v>
      </c>
      <c r="R88" s="20">
        <f>100000*11.5*24/1000000</f>
        <v>27.6</v>
      </c>
      <c r="S88" s="20"/>
      <c r="T88" s="19">
        <f t="shared" si="5"/>
        <v>13.8</v>
      </c>
      <c r="U88" s="20">
        <f>50000*11.5*24/1000000</f>
        <v>13.8</v>
      </c>
      <c r="V88" s="20"/>
      <c r="W88" s="16" t="s">
        <v>33</v>
      </c>
      <c r="X88" s="152" t="s">
        <v>34</v>
      </c>
      <c r="Y88" s="152" t="s">
        <v>34</v>
      </c>
      <c r="Z88" s="28" t="s">
        <v>544</v>
      </c>
    </row>
    <row r="89" spans="1:26" ht="17.25" customHeight="1" x14ac:dyDescent="0.3">
      <c r="A89" s="16" t="s">
        <v>189</v>
      </c>
      <c r="B89" s="112" t="str">
        <f t="shared" si="6"/>
        <v>DE141</v>
      </c>
      <c r="C89" s="16" t="s">
        <v>191</v>
      </c>
      <c r="D89" s="16">
        <v>14</v>
      </c>
      <c r="E89" s="16">
        <v>1</v>
      </c>
      <c r="F89" s="16" t="s">
        <v>228</v>
      </c>
      <c r="G89" s="16" t="s">
        <v>229</v>
      </c>
      <c r="H89" s="16" t="s">
        <v>28</v>
      </c>
      <c r="I89" s="16" t="s">
        <v>29</v>
      </c>
      <c r="J89" s="17">
        <v>1971</v>
      </c>
      <c r="K89" s="16" t="s">
        <v>64</v>
      </c>
      <c r="L89" s="16"/>
      <c r="M89" s="16" t="s">
        <v>32</v>
      </c>
      <c r="N89" s="18">
        <f t="shared" si="3"/>
        <v>0.24299999999999999</v>
      </c>
      <c r="O89" s="20">
        <v>0.24299999999999999</v>
      </c>
      <c r="P89" s="20"/>
      <c r="Q89" s="18">
        <f t="shared" si="4"/>
        <v>13.56</v>
      </c>
      <c r="R89" s="20">
        <v>13.56</v>
      </c>
      <c r="S89" s="20"/>
      <c r="T89" s="19">
        <f t="shared" si="5"/>
        <v>5.69</v>
      </c>
      <c r="U89" s="20">
        <v>5.69</v>
      </c>
      <c r="V89" s="20"/>
      <c r="W89" s="16" t="s">
        <v>33</v>
      </c>
      <c r="X89" s="152" t="s">
        <v>34</v>
      </c>
      <c r="Y89" s="152" t="s">
        <v>34</v>
      </c>
      <c r="Z89" s="28" t="s">
        <v>544</v>
      </c>
    </row>
    <row r="90" spans="1:26" ht="17.25" customHeight="1" x14ac:dyDescent="0.3">
      <c r="A90" s="16" t="s">
        <v>189</v>
      </c>
      <c r="B90" s="112" t="str">
        <f t="shared" si="6"/>
        <v>DE142</v>
      </c>
      <c r="C90" s="16" t="s">
        <v>191</v>
      </c>
      <c r="D90" s="16">
        <v>14</v>
      </c>
      <c r="E90" s="16">
        <v>2</v>
      </c>
      <c r="F90" s="16" t="s">
        <v>228</v>
      </c>
      <c r="G90" s="16" t="s">
        <v>230</v>
      </c>
      <c r="H90" s="16" t="s">
        <v>28</v>
      </c>
      <c r="I90" s="16" t="s">
        <v>29</v>
      </c>
      <c r="J90" s="17">
        <v>2000</v>
      </c>
      <c r="K90" s="16" t="s">
        <v>64</v>
      </c>
      <c r="L90" s="16"/>
      <c r="M90" s="16" t="s">
        <v>32</v>
      </c>
      <c r="N90" s="18">
        <f t="shared" si="3"/>
        <v>2.97</v>
      </c>
      <c r="O90" s="20">
        <v>2.97</v>
      </c>
      <c r="P90" s="20"/>
      <c r="Q90" s="18">
        <f t="shared" si="4"/>
        <v>107.52</v>
      </c>
      <c r="R90" s="20">
        <v>107.52</v>
      </c>
      <c r="S90" s="20"/>
      <c r="T90" s="19">
        <f t="shared" si="5"/>
        <v>48.38</v>
      </c>
      <c r="U90" s="20">
        <v>48.38</v>
      </c>
      <c r="V90" s="20"/>
      <c r="W90" s="16" t="s">
        <v>33</v>
      </c>
      <c r="X90" s="152" t="s">
        <v>34</v>
      </c>
      <c r="Y90" s="152" t="s">
        <v>34</v>
      </c>
      <c r="Z90" s="28" t="s">
        <v>544</v>
      </c>
    </row>
    <row r="91" spans="1:26" ht="17.25" customHeight="1" x14ac:dyDescent="0.3">
      <c r="A91" s="16" t="s">
        <v>189</v>
      </c>
      <c r="B91" s="112" t="str">
        <f t="shared" si="6"/>
        <v>DE151</v>
      </c>
      <c r="C91" s="16" t="s">
        <v>191</v>
      </c>
      <c r="D91" s="16">
        <v>15</v>
      </c>
      <c r="E91" s="16">
        <v>1</v>
      </c>
      <c r="F91" s="16" t="s">
        <v>231</v>
      </c>
      <c r="G91" s="16" t="s">
        <v>232</v>
      </c>
      <c r="H91" s="16" t="s">
        <v>28</v>
      </c>
      <c r="I91" s="16" t="s">
        <v>29</v>
      </c>
      <c r="J91" s="17">
        <v>2012</v>
      </c>
      <c r="K91" s="16" t="s">
        <v>64</v>
      </c>
      <c r="L91" s="16"/>
      <c r="M91" s="16" t="s">
        <v>32</v>
      </c>
      <c r="N91" s="18">
        <f t="shared" si="3"/>
        <v>1.8438000000000001</v>
      </c>
      <c r="O91" s="31">
        <v>1.8438000000000001</v>
      </c>
      <c r="P91" s="31"/>
      <c r="Q91" s="18">
        <f t="shared" si="4"/>
        <v>99.14</v>
      </c>
      <c r="R91" s="31">
        <v>99.14</v>
      </c>
      <c r="S91" s="31"/>
      <c r="T91" s="19">
        <f t="shared" si="5"/>
        <v>49.57</v>
      </c>
      <c r="U91" s="31">
        <v>49.57</v>
      </c>
      <c r="V91" s="31"/>
      <c r="W91" s="16" t="s">
        <v>33</v>
      </c>
      <c r="X91" s="152" t="s">
        <v>34</v>
      </c>
      <c r="Y91" s="152" t="s">
        <v>34</v>
      </c>
      <c r="Z91" s="28" t="s">
        <v>544</v>
      </c>
    </row>
    <row r="92" spans="1:26" ht="17.25" customHeight="1" x14ac:dyDescent="0.3">
      <c r="A92" s="16" t="s">
        <v>189</v>
      </c>
      <c r="B92" s="112" t="str">
        <f t="shared" si="6"/>
        <v>DE152</v>
      </c>
      <c r="C92" s="16" t="s">
        <v>191</v>
      </c>
      <c r="D92" s="16">
        <v>15</v>
      </c>
      <c r="E92" s="16">
        <v>2</v>
      </c>
      <c r="F92" s="16" t="s">
        <v>231</v>
      </c>
      <c r="G92" s="16" t="s">
        <v>233</v>
      </c>
      <c r="H92" s="16" t="s">
        <v>28</v>
      </c>
      <c r="I92" s="16" t="s">
        <v>29</v>
      </c>
      <c r="J92" s="17">
        <v>2006</v>
      </c>
      <c r="K92" s="16" t="s">
        <v>64</v>
      </c>
      <c r="L92" s="16"/>
      <c r="M92" s="16" t="s">
        <v>32</v>
      </c>
      <c r="N92" s="18">
        <f t="shared" si="3"/>
        <v>2.92</v>
      </c>
      <c r="O92" s="31">
        <v>2.92</v>
      </c>
      <c r="P92" s="31"/>
      <c r="Q92" s="18">
        <f t="shared" si="4"/>
        <v>118.87</v>
      </c>
      <c r="R92" s="31">
        <v>118.87</v>
      </c>
      <c r="S92" s="31"/>
      <c r="T92" s="19">
        <f t="shared" si="5"/>
        <v>47.55</v>
      </c>
      <c r="U92" s="31">
        <v>47.55</v>
      </c>
      <c r="V92" s="31"/>
      <c r="W92" s="16" t="s">
        <v>33</v>
      </c>
      <c r="X92" s="152" t="s">
        <v>34</v>
      </c>
      <c r="Y92" s="152" t="s">
        <v>34</v>
      </c>
      <c r="Z92" s="28" t="s">
        <v>544</v>
      </c>
    </row>
    <row r="93" spans="1:26" ht="17.25" customHeight="1" x14ac:dyDescent="0.3">
      <c r="A93" s="16" t="s">
        <v>189</v>
      </c>
      <c r="B93" s="112" t="str">
        <f t="shared" si="6"/>
        <v>DE153</v>
      </c>
      <c r="C93" s="16" t="s">
        <v>191</v>
      </c>
      <c r="D93" s="16">
        <v>15</v>
      </c>
      <c r="E93" s="16">
        <v>3</v>
      </c>
      <c r="F93" s="16" t="s">
        <v>231</v>
      </c>
      <c r="G93" s="16" t="s">
        <v>234</v>
      </c>
      <c r="H93" s="16" t="s">
        <v>28</v>
      </c>
      <c r="I93" s="16" t="s">
        <v>29</v>
      </c>
      <c r="J93" s="17">
        <v>1996</v>
      </c>
      <c r="K93" s="16" t="s">
        <v>64</v>
      </c>
      <c r="L93" s="16"/>
      <c r="M93" s="16" t="s">
        <v>32</v>
      </c>
      <c r="N93" s="18">
        <f t="shared" si="3"/>
        <v>7.2881</v>
      </c>
      <c r="O93" s="31">
        <v>7.2881</v>
      </c>
      <c r="P93" s="31"/>
      <c r="Q93" s="18">
        <f t="shared" si="4"/>
        <v>175.27</v>
      </c>
      <c r="R93" s="31">
        <v>175.27</v>
      </c>
      <c r="S93" s="31"/>
      <c r="T93" s="19">
        <f t="shared" si="5"/>
        <v>83.587999999999994</v>
      </c>
      <c r="U93" s="31">
        <v>83.587999999999994</v>
      </c>
      <c r="V93" s="31"/>
      <c r="W93" s="16" t="s">
        <v>33</v>
      </c>
      <c r="X93" s="152" t="s">
        <v>34</v>
      </c>
      <c r="Y93" s="152" t="s">
        <v>34</v>
      </c>
      <c r="Z93" s="28" t="s">
        <v>544</v>
      </c>
    </row>
    <row r="94" spans="1:26" ht="17.25" customHeight="1" x14ac:dyDescent="0.3">
      <c r="A94" s="42" t="s">
        <v>189</v>
      </c>
      <c r="B94" s="113" t="str">
        <f t="shared" si="6"/>
        <v>DE154</v>
      </c>
      <c r="C94" s="42" t="s">
        <v>191</v>
      </c>
      <c r="D94" s="42">
        <v>15</v>
      </c>
      <c r="E94" s="42">
        <v>4</v>
      </c>
      <c r="F94" s="42" t="s">
        <v>231</v>
      </c>
      <c r="G94" s="42" t="s">
        <v>235</v>
      </c>
      <c r="H94" s="42" t="s">
        <v>28</v>
      </c>
      <c r="I94" s="42" t="s">
        <v>29</v>
      </c>
      <c r="J94" s="43">
        <v>1990</v>
      </c>
      <c r="K94" s="42" t="s">
        <v>64</v>
      </c>
      <c r="L94" s="42"/>
      <c r="M94" s="42" t="s">
        <v>32</v>
      </c>
      <c r="N94" s="42">
        <f t="shared" si="3"/>
        <v>0</v>
      </c>
      <c r="O94" s="44"/>
      <c r="P94" s="44"/>
      <c r="Q94" s="42">
        <f t="shared" si="4"/>
        <v>0</v>
      </c>
      <c r="R94" s="44"/>
      <c r="S94" s="44"/>
      <c r="T94" s="42">
        <f t="shared" si="5"/>
        <v>0</v>
      </c>
      <c r="U94" s="44"/>
      <c r="V94" s="44"/>
      <c r="W94" s="44" t="s">
        <v>33</v>
      </c>
      <c r="X94" s="42" t="s">
        <v>34</v>
      </c>
      <c r="Y94" s="42" t="s">
        <v>44</v>
      </c>
      <c r="Z94" s="28" t="s">
        <v>544</v>
      </c>
    </row>
    <row r="95" spans="1:26" ht="17.25" customHeight="1" x14ac:dyDescent="0.3">
      <c r="A95" s="42" t="s">
        <v>189</v>
      </c>
      <c r="B95" s="113" t="str">
        <f t="shared" si="6"/>
        <v>DE155</v>
      </c>
      <c r="C95" s="42" t="s">
        <v>191</v>
      </c>
      <c r="D95" s="42">
        <v>15</v>
      </c>
      <c r="E95" s="42">
        <v>5</v>
      </c>
      <c r="F95" s="42" t="s">
        <v>231</v>
      </c>
      <c r="G95" s="42" t="s">
        <v>236</v>
      </c>
      <c r="H95" s="42" t="s">
        <v>28</v>
      </c>
      <c r="I95" s="42" t="s">
        <v>29</v>
      </c>
      <c r="J95" s="43">
        <v>1985</v>
      </c>
      <c r="K95" s="42" t="s">
        <v>64</v>
      </c>
      <c r="L95" s="42"/>
      <c r="M95" s="42" t="s">
        <v>32</v>
      </c>
      <c r="N95" s="42">
        <f t="shared" si="3"/>
        <v>0</v>
      </c>
      <c r="O95" s="44"/>
      <c r="P95" s="44"/>
      <c r="Q95" s="42">
        <f t="shared" si="4"/>
        <v>0</v>
      </c>
      <c r="R95" s="44"/>
      <c r="S95" s="44"/>
      <c r="T95" s="42">
        <f t="shared" si="5"/>
        <v>0</v>
      </c>
      <c r="U95" s="44"/>
      <c r="V95" s="44"/>
      <c r="W95" s="44" t="s">
        <v>33</v>
      </c>
      <c r="X95" s="42" t="s">
        <v>34</v>
      </c>
      <c r="Y95" s="42" t="s">
        <v>44</v>
      </c>
      <c r="Z95" s="28" t="s">
        <v>544</v>
      </c>
    </row>
    <row r="96" spans="1:26" s="26" customFormat="1" x14ac:dyDescent="0.25">
      <c r="A96" s="109" t="s">
        <v>189</v>
      </c>
      <c r="B96" s="21" t="str">
        <f t="shared" si="6"/>
        <v>DE</v>
      </c>
      <c r="C96" s="21" t="s">
        <v>191</v>
      </c>
      <c r="D96" s="21"/>
      <c r="E96" s="21"/>
      <c r="F96" s="110" t="s">
        <v>231</v>
      </c>
      <c r="G96" s="110" t="s">
        <v>275</v>
      </c>
      <c r="H96" s="21" t="s">
        <v>28</v>
      </c>
      <c r="I96" s="21" t="s">
        <v>29</v>
      </c>
      <c r="J96" s="22">
        <v>1986</v>
      </c>
      <c r="K96" s="21" t="s">
        <v>64</v>
      </c>
      <c r="L96" s="21"/>
      <c r="M96" s="21" t="s">
        <v>32</v>
      </c>
      <c r="N96" s="21">
        <f t="shared" si="3"/>
        <v>6.6639999999999997</v>
      </c>
      <c r="O96" s="24">
        <v>6.6639999999999997</v>
      </c>
      <c r="P96" s="24"/>
      <c r="Q96" s="21">
        <f t="shared" si="4"/>
        <v>325.755</v>
      </c>
      <c r="R96" s="24">
        <v>325.755</v>
      </c>
      <c r="S96" s="24"/>
      <c r="T96" s="21">
        <f t="shared" si="5"/>
        <v>104.023</v>
      </c>
      <c r="U96" s="24">
        <v>104.023</v>
      </c>
      <c r="V96" s="24"/>
      <c r="W96" s="21" t="s">
        <v>33</v>
      </c>
      <c r="X96" s="109" t="s">
        <v>44</v>
      </c>
      <c r="Y96" s="109" t="s">
        <v>34</v>
      </c>
      <c r="Z96" s="28" t="s">
        <v>544</v>
      </c>
    </row>
    <row r="97" spans="1:26" ht="17.25" customHeight="1" x14ac:dyDescent="0.3">
      <c r="A97" s="16" t="s">
        <v>189</v>
      </c>
      <c r="B97" s="112" t="str">
        <f t="shared" si="6"/>
        <v>DE161</v>
      </c>
      <c r="C97" s="16" t="s">
        <v>191</v>
      </c>
      <c r="D97" s="16">
        <v>16</v>
      </c>
      <c r="E97" s="16">
        <v>1</v>
      </c>
      <c r="F97" s="16" t="s">
        <v>237</v>
      </c>
      <c r="G97" s="16" t="s">
        <v>238</v>
      </c>
      <c r="H97" s="16" t="s">
        <v>28</v>
      </c>
      <c r="I97" s="16" t="s">
        <v>29</v>
      </c>
      <c r="J97" s="17">
        <v>2012</v>
      </c>
      <c r="K97" s="16" t="s">
        <v>64</v>
      </c>
      <c r="L97" s="16"/>
      <c r="M97" s="16" t="s">
        <v>32</v>
      </c>
      <c r="N97" s="18">
        <f t="shared" si="3"/>
        <v>2.1680000000000001</v>
      </c>
      <c r="O97" s="31">
        <v>2.1680000000000001</v>
      </c>
      <c r="P97" s="31"/>
      <c r="Q97" s="18">
        <f t="shared" si="4"/>
        <v>109.44</v>
      </c>
      <c r="R97" s="31">
        <v>109.44</v>
      </c>
      <c r="S97" s="31"/>
      <c r="T97" s="19">
        <f t="shared" si="5"/>
        <v>41.04</v>
      </c>
      <c r="U97" s="31">
        <v>41.04</v>
      </c>
      <c r="V97" s="31"/>
      <c r="W97" s="16" t="s">
        <v>33</v>
      </c>
      <c r="X97" s="152" t="s">
        <v>34</v>
      </c>
      <c r="Y97" s="152" t="s">
        <v>34</v>
      </c>
      <c r="Z97" s="28" t="s">
        <v>544</v>
      </c>
    </row>
    <row r="98" spans="1:26" ht="17.25" customHeight="1" x14ac:dyDescent="0.3">
      <c r="A98" s="42" t="s">
        <v>189</v>
      </c>
      <c r="B98" s="113" t="str">
        <f t="shared" si="6"/>
        <v>DE171</v>
      </c>
      <c r="C98" s="42" t="s">
        <v>191</v>
      </c>
      <c r="D98" s="42">
        <v>17</v>
      </c>
      <c r="E98" s="42">
        <v>1</v>
      </c>
      <c r="F98" s="42" t="s">
        <v>239</v>
      </c>
      <c r="G98" s="42" t="s">
        <v>240</v>
      </c>
      <c r="H98" s="42" t="s">
        <v>28</v>
      </c>
      <c r="I98" s="42" t="s">
        <v>29</v>
      </c>
      <c r="J98" s="43">
        <v>1960</v>
      </c>
      <c r="K98" s="42" t="s">
        <v>70</v>
      </c>
      <c r="L98" s="42" t="s">
        <v>70</v>
      </c>
      <c r="M98" s="42" t="s">
        <v>32</v>
      </c>
      <c r="N98" s="42">
        <f t="shared" si="3"/>
        <v>0</v>
      </c>
      <c r="O98" s="44"/>
      <c r="P98" s="44"/>
      <c r="Q98" s="42">
        <f t="shared" si="4"/>
        <v>0</v>
      </c>
      <c r="R98" s="44"/>
      <c r="S98" s="44"/>
      <c r="T98" s="42">
        <f t="shared" si="5"/>
        <v>0</v>
      </c>
      <c r="U98" s="44"/>
      <c r="V98" s="44"/>
      <c r="W98" s="42" t="s">
        <v>33</v>
      </c>
      <c r="X98" s="42" t="s">
        <v>34</v>
      </c>
      <c r="Y98" s="42" t="s">
        <v>44</v>
      </c>
      <c r="Z98" s="28" t="s">
        <v>544</v>
      </c>
    </row>
    <row r="99" spans="1:26" ht="17.25" customHeight="1" x14ac:dyDescent="0.3">
      <c r="A99" s="42" t="s">
        <v>189</v>
      </c>
      <c r="B99" s="113" t="str">
        <f t="shared" si="6"/>
        <v>DE172</v>
      </c>
      <c r="C99" s="42" t="s">
        <v>191</v>
      </c>
      <c r="D99" s="42">
        <v>17</v>
      </c>
      <c r="E99" s="42">
        <v>2</v>
      </c>
      <c r="F99" s="42" t="s">
        <v>239</v>
      </c>
      <c r="G99" s="42" t="s">
        <v>241</v>
      </c>
      <c r="H99" s="42" t="s">
        <v>28</v>
      </c>
      <c r="I99" s="42" t="s">
        <v>29</v>
      </c>
      <c r="J99" s="43">
        <v>1969</v>
      </c>
      <c r="K99" s="42" t="s">
        <v>70</v>
      </c>
      <c r="L99" s="42" t="s">
        <v>70</v>
      </c>
      <c r="M99" s="42" t="s">
        <v>32</v>
      </c>
      <c r="N99" s="42">
        <f t="shared" si="3"/>
        <v>0</v>
      </c>
      <c r="O99" s="44"/>
      <c r="P99" s="44"/>
      <c r="Q99" s="42">
        <f t="shared" si="4"/>
        <v>0</v>
      </c>
      <c r="R99" s="44"/>
      <c r="S99" s="44"/>
      <c r="T99" s="42">
        <f t="shared" si="5"/>
        <v>0</v>
      </c>
      <c r="U99" s="44"/>
      <c r="V99" s="44"/>
      <c r="W99" s="42" t="s">
        <v>33</v>
      </c>
      <c r="X99" s="42" t="s">
        <v>34</v>
      </c>
      <c r="Y99" s="42" t="s">
        <v>44</v>
      </c>
      <c r="Z99" s="28" t="s">
        <v>544</v>
      </c>
    </row>
    <row r="100" spans="1:26" s="26" customFormat="1" x14ac:dyDescent="0.25">
      <c r="A100" s="109" t="s">
        <v>189</v>
      </c>
      <c r="B100" s="21" t="str">
        <f t="shared" ref="B100:B131" si="7">CONCATENATE(C100,D100,E100)</f>
        <v>DE17</v>
      </c>
      <c r="C100" s="21" t="s">
        <v>191</v>
      </c>
      <c r="D100" s="21">
        <v>17</v>
      </c>
      <c r="E100" s="21"/>
      <c r="F100" s="110" t="s">
        <v>239</v>
      </c>
      <c r="G100" s="110" t="s">
        <v>276</v>
      </c>
      <c r="H100" s="21" t="s">
        <v>28</v>
      </c>
      <c r="I100" s="21" t="s">
        <v>29</v>
      </c>
      <c r="J100" s="22"/>
      <c r="K100" s="21" t="s">
        <v>70</v>
      </c>
      <c r="L100" s="21" t="s">
        <v>70</v>
      </c>
      <c r="M100" s="21" t="s">
        <v>32</v>
      </c>
      <c r="N100" s="21">
        <f t="shared" si="3"/>
        <v>2.4300000000000002</v>
      </c>
      <c r="O100" s="24">
        <f>2.43</f>
        <v>2.4300000000000002</v>
      </c>
      <c r="P100" s="24"/>
      <c r="Q100" s="21">
        <f t="shared" si="4"/>
        <v>61.032000000000004</v>
      </c>
      <c r="R100" s="24">
        <f>2.543*24</f>
        <v>61.032000000000004</v>
      </c>
      <c r="S100" s="24"/>
      <c r="T100" s="21">
        <f t="shared" si="5"/>
        <v>37.968000000000004</v>
      </c>
      <c r="U100" s="24">
        <f>1.582*24</f>
        <v>37.968000000000004</v>
      </c>
      <c r="V100" s="24"/>
      <c r="W100" s="21" t="s">
        <v>33</v>
      </c>
      <c r="X100" s="109" t="s">
        <v>44</v>
      </c>
      <c r="Y100" s="109" t="s">
        <v>34</v>
      </c>
      <c r="Z100" s="28" t="s">
        <v>544</v>
      </c>
    </row>
    <row r="101" spans="1:26" ht="17.25" customHeight="1" x14ac:dyDescent="0.3">
      <c r="A101" s="16" t="s">
        <v>189</v>
      </c>
      <c r="B101" s="112" t="str">
        <f t="shared" si="7"/>
        <v>DE181</v>
      </c>
      <c r="C101" s="16" t="s">
        <v>191</v>
      </c>
      <c r="D101" s="16">
        <v>18</v>
      </c>
      <c r="E101" s="16">
        <v>1</v>
      </c>
      <c r="F101" s="16" t="s">
        <v>242</v>
      </c>
      <c r="G101" s="16" t="s">
        <v>243</v>
      </c>
      <c r="H101" s="16" t="s">
        <v>28</v>
      </c>
      <c r="I101" s="16" t="s">
        <v>29</v>
      </c>
      <c r="J101" s="17">
        <v>1976</v>
      </c>
      <c r="K101" s="16" t="s">
        <v>70</v>
      </c>
      <c r="L101" s="16"/>
      <c r="M101" s="16" t="s">
        <v>32</v>
      </c>
      <c r="N101" s="18">
        <f t="shared" si="3"/>
        <v>0.22617008599999999</v>
      </c>
      <c r="O101" s="20">
        <f>19.666964*11.5/1000</f>
        <v>0.22617008599999999</v>
      </c>
      <c r="P101" s="20"/>
      <c r="Q101" s="18">
        <f t="shared" si="4"/>
        <v>162.8775</v>
      </c>
      <c r="R101" s="20">
        <f>R96/2</f>
        <v>162.8775</v>
      </c>
      <c r="S101" s="20"/>
      <c r="T101" s="19">
        <f t="shared" si="5"/>
        <v>52.011499999999998</v>
      </c>
      <c r="U101" s="20">
        <f>U96/2</f>
        <v>52.011499999999998</v>
      </c>
      <c r="V101" s="20"/>
      <c r="W101" s="16" t="s">
        <v>33</v>
      </c>
      <c r="X101" s="152" t="s">
        <v>34</v>
      </c>
      <c r="Y101" s="152" t="s">
        <v>34</v>
      </c>
      <c r="Z101" s="28" t="s">
        <v>544</v>
      </c>
    </row>
    <row r="102" spans="1:26" ht="17.25" customHeight="1" x14ac:dyDescent="0.3">
      <c r="A102" s="16" t="s">
        <v>189</v>
      </c>
      <c r="B102" s="112" t="str">
        <f t="shared" si="7"/>
        <v>DE191</v>
      </c>
      <c r="C102" s="16" t="s">
        <v>191</v>
      </c>
      <c r="D102" s="16">
        <v>19</v>
      </c>
      <c r="E102" s="16">
        <v>1</v>
      </c>
      <c r="F102" s="16" t="s">
        <v>244</v>
      </c>
      <c r="G102" s="16" t="s">
        <v>245</v>
      </c>
      <c r="H102" s="16" t="s">
        <v>28</v>
      </c>
      <c r="I102" s="16" t="s">
        <v>29</v>
      </c>
      <c r="J102" s="17">
        <v>2007</v>
      </c>
      <c r="K102" s="16" t="s">
        <v>64</v>
      </c>
      <c r="L102" s="16"/>
      <c r="M102" s="16" t="s">
        <v>32</v>
      </c>
      <c r="N102" s="18">
        <f t="shared" si="3"/>
        <v>3.012</v>
      </c>
      <c r="O102" s="31">
        <v>3.012</v>
      </c>
      <c r="P102" s="31"/>
      <c r="Q102" s="18">
        <f t="shared" si="4"/>
        <v>141.81</v>
      </c>
      <c r="R102" s="31">
        <v>141.81</v>
      </c>
      <c r="S102" s="31"/>
      <c r="T102" s="19">
        <f t="shared" si="5"/>
        <v>70.8</v>
      </c>
      <c r="U102" s="31">
        <v>70.8</v>
      </c>
      <c r="V102" s="31"/>
      <c r="W102" s="16" t="s">
        <v>33</v>
      </c>
      <c r="X102" s="152" t="s">
        <v>34</v>
      </c>
      <c r="Y102" s="152" t="s">
        <v>34</v>
      </c>
      <c r="Z102" s="28" t="s">
        <v>544</v>
      </c>
    </row>
    <row r="103" spans="1:26" ht="17.25" customHeight="1" x14ac:dyDescent="0.3">
      <c r="A103" s="16" t="s">
        <v>189</v>
      </c>
      <c r="B103" s="112" t="str">
        <f t="shared" si="7"/>
        <v>DE201</v>
      </c>
      <c r="C103" s="16" t="s">
        <v>191</v>
      </c>
      <c r="D103" s="16">
        <v>20</v>
      </c>
      <c r="E103" s="16">
        <v>1</v>
      </c>
      <c r="F103" s="16" t="s">
        <v>246</v>
      </c>
      <c r="G103" s="16" t="s">
        <v>226</v>
      </c>
      <c r="H103" s="16" t="s">
        <v>28</v>
      </c>
      <c r="I103" s="16" t="s">
        <v>29</v>
      </c>
      <c r="J103" s="17">
        <v>2012</v>
      </c>
      <c r="K103" s="16" t="s">
        <v>64</v>
      </c>
      <c r="L103" s="16"/>
      <c r="M103" s="16" t="s">
        <v>32</v>
      </c>
      <c r="N103" s="18">
        <f t="shared" si="3"/>
        <v>5.2949999999999999</v>
      </c>
      <c r="O103" s="20">
        <v>5.2949999999999999</v>
      </c>
      <c r="P103" s="20"/>
      <c r="Q103" s="18">
        <f t="shared" si="4"/>
        <v>106.8</v>
      </c>
      <c r="R103" s="20">
        <v>106.8</v>
      </c>
      <c r="S103" s="20"/>
      <c r="T103" s="19">
        <f t="shared" si="5"/>
        <v>71.28</v>
      </c>
      <c r="U103" s="20">
        <v>71.28</v>
      </c>
      <c r="V103" s="20"/>
      <c r="W103" s="16" t="s">
        <v>33</v>
      </c>
      <c r="X103" s="152" t="s">
        <v>34</v>
      </c>
      <c r="Y103" s="152" t="s">
        <v>34</v>
      </c>
      <c r="Z103" s="28" t="s">
        <v>544</v>
      </c>
    </row>
    <row r="104" spans="1:26" ht="17.25" customHeight="1" x14ac:dyDescent="0.3">
      <c r="A104" s="16" t="s">
        <v>189</v>
      </c>
      <c r="B104" s="112" t="str">
        <f t="shared" si="7"/>
        <v>DE211</v>
      </c>
      <c r="C104" s="16" t="s">
        <v>191</v>
      </c>
      <c r="D104" s="16">
        <v>21</v>
      </c>
      <c r="E104" s="16">
        <v>1</v>
      </c>
      <c r="F104" s="16" t="s">
        <v>247</v>
      </c>
      <c r="G104" s="16" t="s">
        <v>248</v>
      </c>
      <c r="H104" s="16" t="s">
        <v>28</v>
      </c>
      <c r="I104" s="16" t="s">
        <v>29</v>
      </c>
      <c r="J104" s="17">
        <v>1970</v>
      </c>
      <c r="K104" s="16" t="s">
        <v>64</v>
      </c>
      <c r="L104" s="16"/>
      <c r="M104" s="16" t="s">
        <v>32</v>
      </c>
      <c r="N104" s="18">
        <f t="shared" si="3"/>
        <v>3.4500000000000003E-2</v>
      </c>
      <c r="O104" s="20">
        <v>0</v>
      </c>
      <c r="P104" s="20">
        <f>3*11.5/1000</f>
        <v>3.4500000000000003E-2</v>
      </c>
      <c r="Q104" s="18">
        <f t="shared" si="4"/>
        <v>0</v>
      </c>
      <c r="R104" s="20"/>
      <c r="S104" s="20"/>
      <c r="T104" s="19">
        <f t="shared" si="5"/>
        <v>0</v>
      </c>
      <c r="U104" s="20"/>
      <c r="V104" s="20"/>
      <c r="W104" s="16" t="s">
        <v>249</v>
      </c>
      <c r="X104" s="152" t="s">
        <v>34</v>
      </c>
      <c r="Y104" s="152" t="s">
        <v>34</v>
      </c>
      <c r="Z104" s="28" t="s">
        <v>544</v>
      </c>
    </row>
    <row r="105" spans="1:26" ht="17.25" customHeight="1" x14ac:dyDescent="0.3">
      <c r="A105" s="16" t="s">
        <v>189</v>
      </c>
      <c r="B105" s="112" t="str">
        <f t="shared" si="7"/>
        <v>DE221</v>
      </c>
      <c r="C105" s="16" t="s">
        <v>191</v>
      </c>
      <c r="D105" s="16">
        <v>22</v>
      </c>
      <c r="E105" s="16">
        <v>1</v>
      </c>
      <c r="F105" s="16" t="s">
        <v>250</v>
      </c>
      <c r="G105" s="16" t="s">
        <v>251</v>
      </c>
      <c r="H105" s="16" t="s">
        <v>28</v>
      </c>
      <c r="I105" s="16" t="s">
        <v>29</v>
      </c>
      <c r="J105" s="17">
        <v>2000</v>
      </c>
      <c r="K105" s="16" t="s">
        <v>64</v>
      </c>
      <c r="L105" s="16"/>
      <c r="M105" s="16" t="s">
        <v>32</v>
      </c>
      <c r="N105" s="18">
        <f t="shared" si="3"/>
        <v>0.86250000000000004</v>
      </c>
      <c r="O105" s="20">
        <f>75*11.5/1000</f>
        <v>0.86250000000000004</v>
      </c>
      <c r="P105" s="20"/>
      <c r="Q105" s="18">
        <f t="shared" si="4"/>
        <v>4.1399999999999997</v>
      </c>
      <c r="R105" s="20">
        <f>15000*11.5*24/1000000</f>
        <v>4.1399999999999997</v>
      </c>
      <c r="S105" s="20"/>
      <c r="T105" s="19">
        <f t="shared" si="5"/>
        <v>1.38</v>
      </c>
      <c r="U105" s="20">
        <f>5000*11.5*24/1000000</f>
        <v>1.38</v>
      </c>
      <c r="V105" s="20"/>
      <c r="W105" s="16" t="s">
        <v>33</v>
      </c>
      <c r="X105" s="152" t="s">
        <v>34</v>
      </c>
      <c r="Y105" s="152" t="s">
        <v>34</v>
      </c>
      <c r="Z105" s="28" t="s">
        <v>544</v>
      </c>
    </row>
    <row r="106" spans="1:26" ht="17.25" customHeight="1" x14ac:dyDescent="0.3">
      <c r="A106" s="16" t="s">
        <v>189</v>
      </c>
      <c r="B106" s="112" t="str">
        <f t="shared" si="7"/>
        <v>DE231</v>
      </c>
      <c r="C106" s="16" t="s">
        <v>191</v>
      </c>
      <c r="D106" s="16">
        <v>23</v>
      </c>
      <c r="E106" s="16">
        <v>1</v>
      </c>
      <c r="F106" s="16" t="s">
        <v>252</v>
      </c>
      <c r="G106" s="16" t="s">
        <v>229</v>
      </c>
      <c r="H106" s="16" t="s">
        <v>28</v>
      </c>
      <c r="I106" s="16" t="s">
        <v>29</v>
      </c>
      <c r="J106" s="17">
        <v>1971</v>
      </c>
      <c r="K106" s="16" t="s">
        <v>64</v>
      </c>
      <c r="L106" s="16"/>
      <c r="M106" s="16" t="s">
        <v>32</v>
      </c>
      <c r="N106" s="18">
        <f t="shared" si="3"/>
        <v>0.503</v>
      </c>
      <c r="O106" s="20">
        <f>503/1000</f>
        <v>0.503</v>
      </c>
      <c r="P106" s="20"/>
      <c r="Q106" s="18">
        <f t="shared" si="4"/>
        <v>13.68</v>
      </c>
      <c r="R106" s="20">
        <f>0.57*24</f>
        <v>13.68</v>
      </c>
      <c r="S106" s="20"/>
      <c r="T106" s="19">
        <f t="shared" si="5"/>
        <v>5.88</v>
      </c>
      <c r="U106" s="20">
        <f>0.245*24</f>
        <v>5.88</v>
      </c>
      <c r="V106" s="20"/>
      <c r="W106" s="16" t="s">
        <v>33</v>
      </c>
      <c r="X106" s="152" t="s">
        <v>34</v>
      </c>
      <c r="Y106" s="152" t="s">
        <v>34</v>
      </c>
      <c r="Z106" s="28" t="s">
        <v>544</v>
      </c>
    </row>
    <row r="107" spans="1:26" ht="17.25" customHeight="1" x14ac:dyDescent="0.3">
      <c r="A107" s="16" t="s">
        <v>189</v>
      </c>
      <c r="B107" s="112" t="str">
        <f t="shared" si="7"/>
        <v>DE241</v>
      </c>
      <c r="C107" s="16" t="s">
        <v>191</v>
      </c>
      <c r="D107" s="16">
        <v>24</v>
      </c>
      <c r="E107" s="16">
        <v>1</v>
      </c>
      <c r="F107" s="16" t="s">
        <v>253</v>
      </c>
      <c r="G107" s="16" t="s">
        <v>251</v>
      </c>
      <c r="H107" s="16" t="s">
        <v>28</v>
      </c>
      <c r="I107" s="16" t="s">
        <v>29</v>
      </c>
      <c r="J107" s="17">
        <v>2000</v>
      </c>
      <c r="K107" s="16" t="s">
        <v>64</v>
      </c>
      <c r="L107" s="16"/>
      <c r="M107" s="16" t="s">
        <v>32</v>
      </c>
      <c r="N107" s="18">
        <f t="shared" si="3"/>
        <v>1.5980000000000001</v>
      </c>
      <c r="O107" s="20">
        <v>1.5980000000000001</v>
      </c>
      <c r="P107" s="31"/>
      <c r="Q107" s="18">
        <f t="shared" si="4"/>
        <v>52.008000000000003</v>
      </c>
      <c r="R107" s="20">
        <v>52.008000000000003</v>
      </c>
      <c r="S107" s="31"/>
      <c r="T107" s="19">
        <f t="shared" si="5"/>
        <v>24.821999999999999</v>
      </c>
      <c r="U107" s="20">
        <v>24.821999999999999</v>
      </c>
      <c r="V107" s="31"/>
      <c r="W107" s="16" t="s">
        <v>33</v>
      </c>
      <c r="X107" s="152" t="s">
        <v>34</v>
      </c>
      <c r="Y107" s="152" t="s">
        <v>34</v>
      </c>
      <c r="Z107" s="28" t="s">
        <v>544</v>
      </c>
    </row>
    <row r="108" spans="1:26" ht="17.25" customHeight="1" x14ac:dyDescent="0.3">
      <c r="A108" s="16" t="s">
        <v>189</v>
      </c>
      <c r="B108" s="112" t="str">
        <f t="shared" si="7"/>
        <v>DE242</v>
      </c>
      <c r="C108" s="16" t="s">
        <v>191</v>
      </c>
      <c r="D108" s="16">
        <v>24</v>
      </c>
      <c r="E108" s="16">
        <v>2</v>
      </c>
      <c r="F108" s="16" t="s">
        <v>253</v>
      </c>
      <c r="G108" s="16" t="s">
        <v>254</v>
      </c>
      <c r="H108" s="16" t="s">
        <v>28</v>
      </c>
      <c r="I108" s="16" t="s">
        <v>29</v>
      </c>
      <c r="J108" s="17">
        <v>1997</v>
      </c>
      <c r="K108" s="16" t="s">
        <v>30</v>
      </c>
      <c r="L108" s="16" t="s">
        <v>31</v>
      </c>
      <c r="M108" s="16" t="s">
        <v>32</v>
      </c>
      <c r="N108" s="18">
        <f t="shared" si="3"/>
        <v>0.12039999999999999</v>
      </c>
      <c r="O108" s="20">
        <v>0.12039999999999999</v>
      </c>
      <c r="P108" s="31"/>
      <c r="Q108" s="18">
        <f t="shared" si="4"/>
        <v>8.0280000000000005</v>
      </c>
      <c r="R108" s="20">
        <v>8.0280000000000005</v>
      </c>
      <c r="S108" s="31"/>
      <c r="T108" s="19">
        <f t="shared" si="5"/>
        <v>5.3520000000000003</v>
      </c>
      <c r="U108" s="20">
        <v>5.3520000000000003</v>
      </c>
      <c r="V108" s="31"/>
      <c r="W108" s="16" t="s">
        <v>33</v>
      </c>
      <c r="X108" s="152" t="s">
        <v>34</v>
      </c>
      <c r="Y108" s="152" t="s">
        <v>34</v>
      </c>
      <c r="Z108" s="28" t="s">
        <v>544</v>
      </c>
    </row>
    <row r="109" spans="1:26" ht="17.25" customHeight="1" x14ac:dyDescent="0.3">
      <c r="A109" s="16" t="s">
        <v>189</v>
      </c>
      <c r="B109" s="112" t="str">
        <f t="shared" si="7"/>
        <v>DE243</v>
      </c>
      <c r="C109" s="16" t="s">
        <v>191</v>
      </c>
      <c r="D109" s="16">
        <v>24</v>
      </c>
      <c r="E109" s="16">
        <v>3</v>
      </c>
      <c r="F109" s="16" t="s">
        <v>253</v>
      </c>
      <c r="G109" s="16" t="s">
        <v>255</v>
      </c>
      <c r="H109" s="16" t="s">
        <v>28</v>
      </c>
      <c r="I109" s="16" t="s">
        <v>29</v>
      </c>
      <c r="J109" s="17">
        <v>1992</v>
      </c>
      <c r="K109" s="16" t="s">
        <v>64</v>
      </c>
      <c r="L109" s="16"/>
      <c r="M109" s="16" t="s">
        <v>32</v>
      </c>
      <c r="N109" s="18">
        <f t="shared" si="3"/>
        <v>1.2422</v>
      </c>
      <c r="O109" s="20">
        <v>1.2422</v>
      </c>
      <c r="P109" s="31"/>
      <c r="Q109" s="18">
        <f t="shared" si="4"/>
        <v>81.72</v>
      </c>
      <c r="R109" s="20">
        <v>81.72</v>
      </c>
      <c r="S109" s="31"/>
      <c r="T109" s="19">
        <f t="shared" si="5"/>
        <v>24.667000000000002</v>
      </c>
      <c r="U109" s="20">
        <v>24.667000000000002</v>
      </c>
      <c r="V109" s="31"/>
      <c r="W109" s="16" t="s">
        <v>33</v>
      </c>
      <c r="X109" s="152" t="s">
        <v>34</v>
      </c>
      <c r="Y109" s="152" t="s">
        <v>34</v>
      </c>
      <c r="Z109" s="28" t="s">
        <v>544</v>
      </c>
    </row>
    <row r="110" spans="1:26" ht="17.25" customHeight="1" x14ac:dyDescent="0.3">
      <c r="A110" s="16" t="s">
        <v>189</v>
      </c>
      <c r="B110" s="112" t="str">
        <f t="shared" si="7"/>
        <v>DE244</v>
      </c>
      <c r="C110" s="16" t="s">
        <v>191</v>
      </c>
      <c r="D110" s="16">
        <v>24</v>
      </c>
      <c r="E110" s="16">
        <v>4</v>
      </c>
      <c r="F110" s="16" t="s">
        <v>253</v>
      </c>
      <c r="G110" s="16" t="s">
        <v>256</v>
      </c>
      <c r="H110" s="16" t="s">
        <v>28</v>
      </c>
      <c r="I110" s="16" t="s">
        <v>29</v>
      </c>
      <c r="J110" s="17">
        <v>2002</v>
      </c>
      <c r="K110" s="16" t="s">
        <v>64</v>
      </c>
      <c r="L110" s="16"/>
      <c r="M110" s="16" t="s">
        <v>32</v>
      </c>
      <c r="N110" s="18">
        <f t="shared" si="3"/>
        <v>3.931</v>
      </c>
      <c r="O110" s="20">
        <v>3.931</v>
      </c>
      <c r="P110" s="31"/>
      <c r="Q110" s="18">
        <f t="shared" si="4"/>
        <v>231.958</v>
      </c>
      <c r="R110" s="20">
        <v>231.958</v>
      </c>
      <c r="S110" s="31"/>
      <c r="T110" s="19">
        <f t="shared" si="5"/>
        <v>84.671999999999997</v>
      </c>
      <c r="U110" s="20">
        <v>84.671999999999997</v>
      </c>
      <c r="V110" s="31"/>
      <c r="W110" s="16" t="s">
        <v>33</v>
      </c>
      <c r="X110" s="152" t="s">
        <v>34</v>
      </c>
      <c r="Y110" s="152" t="s">
        <v>34</v>
      </c>
      <c r="Z110" s="28" t="s">
        <v>544</v>
      </c>
    </row>
    <row r="111" spans="1:26" ht="17.25" customHeight="1" x14ac:dyDescent="0.3">
      <c r="A111" s="16" t="s">
        <v>189</v>
      </c>
      <c r="B111" s="112" t="str">
        <f t="shared" si="7"/>
        <v>DE245</v>
      </c>
      <c r="C111" s="16" t="s">
        <v>191</v>
      </c>
      <c r="D111" s="16">
        <v>24</v>
      </c>
      <c r="E111" s="16">
        <v>5</v>
      </c>
      <c r="F111" s="16" t="s">
        <v>253</v>
      </c>
      <c r="G111" s="16" t="s">
        <v>257</v>
      </c>
      <c r="H111" s="16" t="s">
        <v>28</v>
      </c>
      <c r="I111" s="16" t="s">
        <v>29</v>
      </c>
      <c r="J111" s="17">
        <v>1983</v>
      </c>
      <c r="K111" s="16" t="s">
        <v>30</v>
      </c>
      <c r="L111" s="16" t="s">
        <v>31</v>
      </c>
      <c r="M111" s="16" t="s">
        <v>32</v>
      </c>
      <c r="N111" s="18">
        <f t="shared" si="3"/>
        <v>1.74</v>
      </c>
      <c r="O111" s="20">
        <v>1.74</v>
      </c>
      <c r="P111" s="20"/>
      <c r="Q111" s="18">
        <f t="shared" si="4"/>
        <v>40.32</v>
      </c>
      <c r="R111" s="20">
        <v>40.32</v>
      </c>
      <c r="S111" s="20"/>
      <c r="T111" s="19">
        <f t="shared" si="5"/>
        <v>10.75</v>
      </c>
      <c r="U111" s="20">
        <v>10.75</v>
      </c>
      <c r="V111" s="20"/>
      <c r="W111" s="16" t="s">
        <v>33</v>
      </c>
      <c r="X111" s="152" t="s">
        <v>34</v>
      </c>
      <c r="Y111" s="152" t="s">
        <v>34</v>
      </c>
      <c r="Z111" s="28" t="s">
        <v>544</v>
      </c>
    </row>
    <row r="112" spans="1:26" ht="17.25" x14ac:dyDescent="0.3">
      <c r="A112" s="16" t="s">
        <v>189</v>
      </c>
      <c r="B112" s="112" t="str">
        <f t="shared" si="7"/>
        <v>DE246</v>
      </c>
      <c r="C112" s="16" t="s">
        <v>191</v>
      </c>
      <c r="D112" s="16">
        <v>24</v>
      </c>
      <c r="E112" s="16">
        <v>6</v>
      </c>
      <c r="F112" s="16" t="s">
        <v>253</v>
      </c>
      <c r="G112" s="16" t="s">
        <v>258</v>
      </c>
      <c r="H112" s="16" t="s">
        <v>28</v>
      </c>
      <c r="I112" s="16" t="s">
        <v>29</v>
      </c>
      <c r="J112" s="17">
        <v>1997</v>
      </c>
      <c r="K112" s="16" t="s">
        <v>30</v>
      </c>
      <c r="L112" s="16" t="s">
        <v>31</v>
      </c>
      <c r="M112" s="16" t="s">
        <v>32</v>
      </c>
      <c r="N112" s="18">
        <f t="shared" si="3"/>
        <v>9.7751999999999999</v>
      </c>
      <c r="O112" s="20">
        <v>9.7751999999999999</v>
      </c>
      <c r="P112" s="31"/>
      <c r="Q112" s="18">
        <f t="shared" si="4"/>
        <v>107.598</v>
      </c>
      <c r="R112" s="20">
        <v>107.598</v>
      </c>
      <c r="S112" s="31"/>
      <c r="T112" s="19">
        <f t="shared" si="5"/>
        <v>81.025000000000006</v>
      </c>
      <c r="U112" s="20">
        <v>81.025000000000006</v>
      </c>
      <c r="V112" s="31"/>
      <c r="W112" s="16" t="s">
        <v>33</v>
      </c>
      <c r="X112" s="152" t="s">
        <v>34</v>
      </c>
      <c r="Y112" s="152" t="s">
        <v>34</v>
      </c>
      <c r="Z112" s="28" t="s">
        <v>544</v>
      </c>
    </row>
    <row r="113" spans="1:26" ht="17.25" x14ac:dyDescent="0.3">
      <c r="A113" s="16" t="s">
        <v>189</v>
      </c>
      <c r="B113" s="112" t="str">
        <f t="shared" si="7"/>
        <v>DE251</v>
      </c>
      <c r="C113" s="16" t="s">
        <v>191</v>
      </c>
      <c r="D113" s="16">
        <v>25</v>
      </c>
      <c r="E113" s="16">
        <v>1</v>
      </c>
      <c r="F113" s="16" t="s">
        <v>259</v>
      </c>
      <c r="G113" s="16" t="s">
        <v>260</v>
      </c>
      <c r="H113" s="16" t="s">
        <v>28</v>
      </c>
      <c r="I113" s="16" t="s">
        <v>29</v>
      </c>
      <c r="J113" s="17">
        <v>1996</v>
      </c>
      <c r="K113" s="16" t="s">
        <v>30</v>
      </c>
      <c r="L113" s="16" t="s">
        <v>31</v>
      </c>
      <c r="M113" s="16" t="s">
        <v>32</v>
      </c>
      <c r="N113" s="18">
        <f t="shared" si="3"/>
        <v>0.71299999999999997</v>
      </c>
      <c r="O113" s="20">
        <f>62*11.5/1000</f>
        <v>0.71299999999999997</v>
      </c>
      <c r="P113" s="20"/>
      <c r="Q113" s="18">
        <f t="shared" si="4"/>
        <v>17.111999999999998</v>
      </c>
      <c r="R113" s="20">
        <f>62*11.5*24/1000</f>
        <v>17.111999999999998</v>
      </c>
      <c r="S113" s="20"/>
      <c r="T113" s="19">
        <f t="shared" si="5"/>
        <v>8.5559999999999992</v>
      </c>
      <c r="U113" s="20">
        <f>31*11.5*24/1000</f>
        <v>8.5559999999999992</v>
      </c>
      <c r="V113" s="20"/>
      <c r="W113" s="16" t="s">
        <v>33</v>
      </c>
      <c r="X113" s="152" t="s">
        <v>34</v>
      </c>
      <c r="Y113" s="152" t="s">
        <v>34</v>
      </c>
      <c r="Z113" s="28" t="s">
        <v>544</v>
      </c>
    </row>
    <row r="114" spans="1:26" ht="17.25" x14ac:dyDescent="0.3">
      <c r="A114" s="16" t="s">
        <v>189</v>
      </c>
      <c r="B114" s="112" t="str">
        <f t="shared" si="7"/>
        <v>DE261</v>
      </c>
      <c r="C114" s="16" t="s">
        <v>191</v>
      </c>
      <c r="D114" s="16">
        <v>26</v>
      </c>
      <c r="E114" s="16">
        <v>1</v>
      </c>
      <c r="F114" s="16" t="s">
        <v>261</v>
      </c>
      <c r="G114" s="16" t="s">
        <v>262</v>
      </c>
      <c r="H114" s="16" t="s">
        <v>28</v>
      </c>
      <c r="I114" s="16" t="s">
        <v>29</v>
      </c>
      <c r="J114" s="17">
        <v>1991</v>
      </c>
      <c r="K114" s="16" t="s">
        <v>70</v>
      </c>
      <c r="L114" s="16"/>
      <c r="M114" s="16" t="s">
        <v>32</v>
      </c>
      <c r="N114" s="18">
        <f t="shared" si="3"/>
        <v>0.34499999999999997</v>
      </c>
      <c r="O114" s="31">
        <v>0</v>
      </c>
      <c r="P114" s="31">
        <f>30*11.5/1000</f>
        <v>0.34499999999999997</v>
      </c>
      <c r="Q114" s="18">
        <f t="shared" si="4"/>
        <v>12.420000000000002</v>
      </c>
      <c r="R114" s="31">
        <v>0</v>
      </c>
      <c r="S114" s="31">
        <f>1.08*11.5</f>
        <v>12.420000000000002</v>
      </c>
      <c r="T114" s="19">
        <f t="shared" si="5"/>
        <v>5.52</v>
      </c>
      <c r="U114" s="31">
        <v>0</v>
      </c>
      <c r="V114" s="31">
        <f>0.48*11.5</f>
        <v>5.52</v>
      </c>
      <c r="W114" s="16" t="s">
        <v>249</v>
      </c>
      <c r="X114" s="152" t="s">
        <v>34</v>
      </c>
      <c r="Y114" s="152" t="s">
        <v>34</v>
      </c>
      <c r="Z114" s="28" t="s">
        <v>544</v>
      </c>
    </row>
    <row r="115" spans="1:26" ht="17.25" x14ac:dyDescent="0.3">
      <c r="A115" s="16" t="s">
        <v>189</v>
      </c>
      <c r="B115" s="112" t="str">
        <f t="shared" si="7"/>
        <v>DE271</v>
      </c>
      <c r="C115" s="16" t="s">
        <v>191</v>
      </c>
      <c r="D115" s="16">
        <v>27</v>
      </c>
      <c r="E115" s="16">
        <v>1</v>
      </c>
      <c r="F115" s="16" t="s">
        <v>263</v>
      </c>
      <c r="G115" s="16" t="s">
        <v>222</v>
      </c>
      <c r="H115" s="16" t="s">
        <v>28</v>
      </c>
      <c r="I115" s="16" t="s">
        <v>29</v>
      </c>
      <c r="J115" s="17">
        <v>1993</v>
      </c>
      <c r="K115" s="16" t="s">
        <v>64</v>
      </c>
      <c r="L115" s="16"/>
      <c r="M115" s="16" t="s">
        <v>32</v>
      </c>
      <c r="N115" s="18">
        <f t="shared" si="3"/>
        <v>6.2932289500000002E-2</v>
      </c>
      <c r="O115" s="31">
        <f>5.472373*11.5/1000</f>
        <v>6.2932289500000002E-2</v>
      </c>
      <c r="P115" s="31"/>
      <c r="Q115" s="18">
        <f t="shared" si="4"/>
        <v>1.9656720000000001</v>
      </c>
      <c r="R115" s="31">
        <f>7122*11.5*24/1000000</f>
        <v>1.9656720000000001</v>
      </c>
      <c r="S115" s="31"/>
      <c r="T115" s="19">
        <f t="shared" si="5"/>
        <v>0.89341199999999998</v>
      </c>
      <c r="U115" s="31">
        <f>3237*11.5*24/1000000</f>
        <v>0.89341199999999998</v>
      </c>
      <c r="V115" s="31"/>
      <c r="W115" s="16" t="s">
        <v>33</v>
      </c>
      <c r="X115" s="152" t="s">
        <v>34</v>
      </c>
      <c r="Y115" s="152" t="s">
        <v>34</v>
      </c>
      <c r="Z115" s="28" t="s">
        <v>544</v>
      </c>
    </row>
    <row r="116" spans="1:26" ht="17.25" x14ac:dyDescent="0.3">
      <c r="A116" s="16" t="s">
        <v>189</v>
      </c>
      <c r="B116" s="112" t="str">
        <f t="shared" si="7"/>
        <v>DE281</v>
      </c>
      <c r="C116" s="16" t="s">
        <v>191</v>
      </c>
      <c r="D116" s="16">
        <v>28</v>
      </c>
      <c r="E116" s="16">
        <v>1</v>
      </c>
      <c r="F116" s="16" t="s">
        <v>264</v>
      </c>
      <c r="G116" s="16" t="s">
        <v>265</v>
      </c>
      <c r="H116" s="16" t="s">
        <v>28</v>
      </c>
      <c r="I116" s="16" t="s">
        <v>29</v>
      </c>
      <c r="J116" s="17">
        <v>2008</v>
      </c>
      <c r="K116" s="16" t="s">
        <v>64</v>
      </c>
      <c r="L116" s="16"/>
      <c r="M116" s="16" t="s">
        <v>32</v>
      </c>
      <c r="N116" s="18">
        <f t="shared" si="3"/>
        <v>2.2265999999999999</v>
      </c>
      <c r="O116" s="20">
        <v>2.2265999999999999</v>
      </c>
      <c r="P116" s="20"/>
      <c r="Q116" s="18">
        <f t="shared" si="4"/>
        <v>164.88</v>
      </c>
      <c r="R116" s="20">
        <v>164.88</v>
      </c>
      <c r="S116" s="20"/>
      <c r="T116" s="19">
        <f t="shared" si="5"/>
        <v>82.44</v>
      </c>
      <c r="U116" s="20">
        <v>82.44</v>
      </c>
      <c r="V116" s="20"/>
      <c r="W116" s="16" t="s">
        <v>33</v>
      </c>
      <c r="X116" s="152" t="s">
        <v>34</v>
      </c>
      <c r="Y116" s="152" t="s">
        <v>34</v>
      </c>
      <c r="Z116" s="28" t="s">
        <v>544</v>
      </c>
    </row>
    <row r="117" spans="1:26" ht="17.25" x14ac:dyDescent="0.3">
      <c r="A117" s="16" t="s">
        <v>189</v>
      </c>
      <c r="B117" s="112" t="str">
        <f t="shared" si="7"/>
        <v>DE291</v>
      </c>
      <c r="C117" s="16" t="s">
        <v>191</v>
      </c>
      <c r="D117" s="16">
        <v>29</v>
      </c>
      <c r="E117" s="16">
        <v>1</v>
      </c>
      <c r="F117" s="16" t="s">
        <v>57</v>
      </c>
      <c r="G117" s="16" t="s">
        <v>266</v>
      </c>
      <c r="H117" s="16" t="s">
        <v>28</v>
      </c>
      <c r="I117" s="16" t="s">
        <v>29</v>
      </c>
      <c r="J117" s="17">
        <v>1975</v>
      </c>
      <c r="K117" s="16" t="s">
        <v>30</v>
      </c>
      <c r="L117" s="16" t="s">
        <v>31</v>
      </c>
      <c r="M117" s="16" t="s">
        <v>32</v>
      </c>
      <c r="N117" s="18">
        <f t="shared" si="3"/>
        <v>9.1839999999999993</v>
      </c>
      <c r="O117" s="31">
        <v>9.1839999999999993</v>
      </c>
      <c r="P117" s="31"/>
      <c r="Q117" s="18">
        <f t="shared" si="4"/>
        <v>349.44</v>
      </c>
      <c r="R117" s="31">
        <v>349.44</v>
      </c>
      <c r="S117" s="31"/>
      <c r="T117" s="19">
        <f t="shared" si="5"/>
        <v>268.8</v>
      </c>
      <c r="U117" s="31">
        <v>268.8</v>
      </c>
      <c r="V117" s="31"/>
      <c r="W117" s="16" t="s">
        <v>33</v>
      </c>
      <c r="X117" s="152" t="s">
        <v>34</v>
      </c>
      <c r="Y117" s="152" t="s">
        <v>34</v>
      </c>
      <c r="Z117" s="28" t="s">
        <v>544</v>
      </c>
    </row>
    <row r="118" spans="1:26" ht="17.25" x14ac:dyDescent="0.3">
      <c r="A118" s="16" t="s">
        <v>189</v>
      </c>
      <c r="B118" s="112" t="str">
        <f t="shared" si="7"/>
        <v>DE292</v>
      </c>
      <c r="C118" s="16" t="s">
        <v>191</v>
      </c>
      <c r="D118" s="16">
        <v>29</v>
      </c>
      <c r="E118" s="16">
        <v>2</v>
      </c>
      <c r="F118" s="16" t="s">
        <v>57</v>
      </c>
      <c r="G118" s="16" t="s">
        <v>267</v>
      </c>
      <c r="H118" s="16" t="s">
        <v>28</v>
      </c>
      <c r="I118" s="16" t="s">
        <v>29</v>
      </c>
      <c r="J118" s="17">
        <v>1996</v>
      </c>
      <c r="K118" s="16" t="s">
        <v>30</v>
      </c>
      <c r="L118" s="16" t="s">
        <v>31</v>
      </c>
      <c r="M118" s="16" t="s">
        <v>32</v>
      </c>
      <c r="N118" s="18">
        <f t="shared" si="3"/>
        <v>11.1104</v>
      </c>
      <c r="O118" s="31">
        <v>11.1104</v>
      </c>
      <c r="P118" s="31"/>
      <c r="Q118" s="18">
        <f t="shared" si="4"/>
        <v>139.77600000000001</v>
      </c>
      <c r="R118" s="31">
        <v>139.77600000000001</v>
      </c>
      <c r="S118" s="31"/>
      <c r="T118" s="19">
        <f t="shared" si="5"/>
        <v>67.2</v>
      </c>
      <c r="U118" s="31">
        <v>67.2</v>
      </c>
      <c r="V118" s="31"/>
      <c r="W118" s="16" t="s">
        <v>33</v>
      </c>
      <c r="X118" s="152" t="s">
        <v>34</v>
      </c>
      <c r="Y118" s="152" t="s">
        <v>34</v>
      </c>
      <c r="Z118" s="28" t="s">
        <v>544</v>
      </c>
    </row>
    <row r="119" spans="1:26" ht="17.25" x14ac:dyDescent="0.3">
      <c r="A119" s="16" t="s">
        <v>189</v>
      </c>
      <c r="B119" s="112" t="str">
        <f t="shared" si="7"/>
        <v>DE293</v>
      </c>
      <c r="C119" s="16" t="s">
        <v>191</v>
      </c>
      <c r="D119" s="16">
        <v>29</v>
      </c>
      <c r="E119" s="16">
        <v>3</v>
      </c>
      <c r="F119" s="16" t="s">
        <v>57</v>
      </c>
      <c r="G119" s="16" t="s">
        <v>268</v>
      </c>
      <c r="H119" s="16" t="s">
        <v>28</v>
      </c>
      <c r="I119" s="16" t="s">
        <v>29</v>
      </c>
      <c r="J119" s="17">
        <v>1976</v>
      </c>
      <c r="K119" s="16" t="s">
        <v>64</v>
      </c>
      <c r="L119" s="16"/>
      <c r="M119" s="16" t="s">
        <v>32</v>
      </c>
      <c r="N119" s="18">
        <f t="shared" si="3"/>
        <v>15.3043</v>
      </c>
      <c r="O119" s="31">
        <v>15.3043</v>
      </c>
      <c r="P119" s="31"/>
      <c r="Q119" s="18">
        <f t="shared" si="4"/>
        <v>465.12</v>
      </c>
      <c r="R119" s="31">
        <v>465.12</v>
      </c>
      <c r="S119" s="31"/>
      <c r="T119" s="19">
        <f t="shared" si="5"/>
        <v>328.32</v>
      </c>
      <c r="U119" s="31">
        <v>328.32</v>
      </c>
      <c r="V119" s="31"/>
      <c r="W119" s="16" t="s">
        <v>33</v>
      </c>
      <c r="X119" s="152" t="s">
        <v>34</v>
      </c>
      <c r="Y119" s="152" t="s">
        <v>34</v>
      </c>
      <c r="Z119" s="28" t="s">
        <v>544</v>
      </c>
    </row>
    <row r="120" spans="1:26" ht="17.25" x14ac:dyDescent="0.3">
      <c r="A120" s="16" t="s">
        <v>189</v>
      </c>
      <c r="B120" s="112" t="str">
        <f t="shared" si="7"/>
        <v>DE294</v>
      </c>
      <c r="C120" s="16" t="s">
        <v>191</v>
      </c>
      <c r="D120" s="16">
        <v>29</v>
      </c>
      <c r="E120" s="16">
        <v>4</v>
      </c>
      <c r="F120" s="16" t="s">
        <v>57</v>
      </c>
      <c r="G120" s="16" t="s">
        <v>269</v>
      </c>
      <c r="H120" s="16" t="s">
        <v>28</v>
      </c>
      <c r="I120" s="16" t="s">
        <v>29</v>
      </c>
      <c r="J120" s="17">
        <v>1976</v>
      </c>
      <c r="K120" s="16" t="s">
        <v>64</v>
      </c>
      <c r="L120" s="16"/>
      <c r="M120" s="16" t="s">
        <v>32</v>
      </c>
      <c r="N120" s="18">
        <f t="shared" si="3"/>
        <v>4.26</v>
      </c>
      <c r="O120" s="31">
        <v>4.26</v>
      </c>
      <c r="P120" s="31"/>
      <c r="Q120" s="18">
        <f t="shared" si="4"/>
        <v>285.12</v>
      </c>
      <c r="R120" s="31">
        <v>285.12</v>
      </c>
      <c r="S120" s="31"/>
      <c r="T120" s="19">
        <f t="shared" si="5"/>
        <v>57.024000000000001</v>
      </c>
      <c r="U120" s="31">
        <v>57.024000000000001</v>
      </c>
      <c r="V120" s="31"/>
      <c r="W120" s="16" t="s">
        <v>33</v>
      </c>
      <c r="X120" s="152" t="s">
        <v>34</v>
      </c>
      <c r="Y120" s="152" t="s">
        <v>34</v>
      </c>
      <c r="Z120" s="28" t="s">
        <v>544</v>
      </c>
    </row>
    <row r="121" spans="1:26" ht="17.25" x14ac:dyDescent="0.3">
      <c r="A121" s="16" t="s">
        <v>189</v>
      </c>
      <c r="B121" s="112" t="str">
        <f t="shared" si="7"/>
        <v>DE295</v>
      </c>
      <c r="C121" s="16" t="s">
        <v>191</v>
      </c>
      <c r="D121" s="16">
        <v>29</v>
      </c>
      <c r="E121" s="16">
        <v>5</v>
      </c>
      <c r="F121" s="16" t="s">
        <v>57</v>
      </c>
      <c r="G121" s="16" t="s">
        <v>243</v>
      </c>
      <c r="H121" s="16" t="s">
        <v>28</v>
      </c>
      <c r="I121" s="16" t="s">
        <v>29</v>
      </c>
      <c r="J121" s="17">
        <v>1976</v>
      </c>
      <c r="K121" s="16" t="s">
        <v>70</v>
      </c>
      <c r="L121" s="16"/>
      <c r="M121" s="16" t="s">
        <v>32</v>
      </c>
      <c r="N121" s="18">
        <f t="shared" si="3"/>
        <v>0.44400000000000001</v>
      </c>
      <c r="O121" s="31">
        <v>0.44400000000000001</v>
      </c>
      <c r="P121" s="31"/>
      <c r="Q121" s="18">
        <f t="shared" si="4"/>
        <v>10.848000000000001</v>
      </c>
      <c r="R121" s="31">
        <v>10.848000000000001</v>
      </c>
      <c r="S121" s="31"/>
      <c r="T121" s="19">
        <f t="shared" si="5"/>
        <v>5.4240000000000004</v>
      </c>
      <c r="U121" s="31">
        <v>5.4240000000000004</v>
      </c>
      <c r="V121" s="31"/>
      <c r="W121" s="16" t="s">
        <v>33</v>
      </c>
      <c r="X121" s="152" t="s">
        <v>34</v>
      </c>
      <c r="Y121" s="152" t="s">
        <v>34</v>
      </c>
      <c r="Z121" s="28" t="s">
        <v>544</v>
      </c>
    </row>
    <row r="122" spans="1:26" ht="17.25" x14ac:dyDescent="0.3">
      <c r="A122" s="16" t="s">
        <v>189</v>
      </c>
      <c r="B122" s="112" t="str">
        <f t="shared" si="7"/>
        <v>DE296</v>
      </c>
      <c r="C122" s="16" t="s">
        <v>191</v>
      </c>
      <c r="D122" s="16">
        <v>29</v>
      </c>
      <c r="E122" s="16">
        <v>6</v>
      </c>
      <c r="F122" s="16" t="s">
        <v>57</v>
      </c>
      <c r="G122" s="16" t="s">
        <v>222</v>
      </c>
      <c r="H122" s="16" t="s">
        <v>28</v>
      </c>
      <c r="I122" s="16" t="s">
        <v>29</v>
      </c>
      <c r="J122" s="17">
        <v>1993</v>
      </c>
      <c r="K122" s="16" t="s">
        <v>64</v>
      </c>
      <c r="L122" s="16"/>
      <c r="M122" s="16" t="s">
        <v>32</v>
      </c>
      <c r="N122" s="18">
        <f t="shared" si="3"/>
        <v>11.318099999999999</v>
      </c>
      <c r="O122" s="31">
        <v>11.318099999999999</v>
      </c>
      <c r="P122" s="31"/>
      <c r="Q122" s="18">
        <f t="shared" si="4"/>
        <v>271.68400000000003</v>
      </c>
      <c r="R122" s="31">
        <v>271.68400000000003</v>
      </c>
      <c r="S122" s="31"/>
      <c r="T122" s="19">
        <f t="shared" si="5"/>
        <v>155.67840000000001</v>
      </c>
      <c r="U122" s="31">
        <v>155.67840000000001</v>
      </c>
      <c r="V122" s="31"/>
      <c r="W122" s="16" t="s">
        <v>33</v>
      </c>
      <c r="X122" s="152" t="s">
        <v>34</v>
      </c>
      <c r="Y122" s="152" t="s">
        <v>34</v>
      </c>
      <c r="Z122" s="28" t="s">
        <v>544</v>
      </c>
    </row>
    <row r="123" spans="1:26" ht="17.25" x14ac:dyDescent="0.3">
      <c r="A123" s="16" t="s">
        <v>189</v>
      </c>
      <c r="B123" s="112" t="str">
        <f t="shared" si="7"/>
        <v>DE297</v>
      </c>
      <c r="C123" s="16" t="s">
        <v>191</v>
      </c>
      <c r="D123" s="16">
        <v>29</v>
      </c>
      <c r="E123" s="16">
        <v>7</v>
      </c>
      <c r="F123" s="16" t="s">
        <v>57</v>
      </c>
      <c r="G123" s="16" t="s">
        <v>226</v>
      </c>
      <c r="H123" s="16" t="s">
        <v>28</v>
      </c>
      <c r="I123" s="16" t="s">
        <v>29</v>
      </c>
      <c r="J123" s="17">
        <v>2012</v>
      </c>
      <c r="K123" s="16" t="s">
        <v>64</v>
      </c>
      <c r="L123" s="16"/>
      <c r="M123" s="16" t="s">
        <v>32</v>
      </c>
      <c r="N123" s="18">
        <f t="shared" si="3"/>
        <v>12.0983</v>
      </c>
      <c r="O123" s="31">
        <v>12.0983</v>
      </c>
      <c r="P123" s="31"/>
      <c r="Q123" s="18">
        <f t="shared" si="4"/>
        <v>396.72</v>
      </c>
      <c r="R123" s="31">
        <v>396.72</v>
      </c>
      <c r="S123" s="31"/>
      <c r="T123" s="19">
        <f t="shared" si="5"/>
        <v>425.63900000000001</v>
      </c>
      <c r="U123" s="31">
        <v>425.63900000000001</v>
      </c>
      <c r="V123" s="31"/>
      <c r="W123" s="16" t="s">
        <v>33</v>
      </c>
      <c r="X123" s="152" t="s">
        <v>34</v>
      </c>
      <c r="Y123" s="152" t="s">
        <v>34</v>
      </c>
      <c r="Z123" s="28" t="s">
        <v>544</v>
      </c>
    </row>
    <row r="124" spans="1:26" ht="17.25" x14ac:dyDescent="0.3">
      <c r="A124" s="42" t="s">
        <v>189</v>
      </c>
      <c r="B124" s="113" t="str">
        <f t="shared" si="7"/>
        <v>DE301</v>
      </c>
      <c r="C124" s="42" t="s">
        <v>191</v>
      </c>
      <c r="D124" s="42">
        <v>30</v>
      </c>
      <c r="E124" s="42">
        <v>1</v>
      </c>
      <c r="F124" s="42" t="s">
        <v>270</v>
      </c>
      <c r="G124" s="42" t="s">
        <v>226</v>
      </c>
      <c r="H124" s="42" t="s">
        <v>28</v>
      </c>
      <c r="I124" s="42" t="s">
        <v>29</v>
      </c>
      <c r="J124" s="43">
        <v>2012</v>
      </c>
      <c r="K124" s="42" t="s">
        <v>64</v>
      </c>
      <c r="L124" s="42"/>
      <c r="M124" s="42" t="s">
        <v>32</v>
      </c>
      <c r="N124" s="42">
        <f t="shared" si="3"/>
        <v>1.4033</v>
      </c>
      <c r="O124" s="44">
        <v>1.4033</v>
      </c>
      <c r="P124" s="44"/>
      <c r="Q124" s="42">
        <f t="shared" si="4"/>
        <v>46.17</v>
      </c>
      <c r="R124" s="44">
        <v>46.17</v>
      </c>
      <c r="S124" s="44"/>
      <c r="T124" s="42">
        <f t="shared" si="5"/>
        <v>28.728000000000002</v>
      </c>
      <c r="U124" s="44">
        <v>28.728000000000002</v>
      </c>
      <c r="V124" s="44"/>
      <c r="W124" s="42" t="s">
        <v>33</v>
      </c>
      <c r="X124" s="42" t="s">
        <v>34</v>
      </c>
      <c r="Y124" s="42" t="s">
        <v>44</v>
      </c>
      <c r="Z124" s="28" t="s">
        <v>544</v>
      </c>
    </row>
    <row r="125" spans="1:26" ht="17.25" x14ac:dyDescent="0.3">
      <c r="A125" s="42" t="s">
        <v>189</v>
      </c>
      <c r="B125" s="113" t="str">
        <f t="shared" si="7"/>
        <v>DE302</v>
      </c>
      <c r="C125" s="42" t="s">
        <v>191</v>
      </c>
      <c r="D125" s="42">
        <v>30</v>
      </c>
      <c r="E125" s="42">
        <v>2</v>
      </c>
      <c r="F125" s="42" t="s">
        <v>270</v>
      </c>
      <c r="G125" s="42" t="s">
        <v>271</v>
      </c>
      <c r="H125" s="42" t="s">
        <v>28</v>
      </c>
      <c r="I125" s="42" t="s">
        <v>29</v>
      </c>
      <c r="J125" s="43">
        <v>1973</v>
      </c>
      <c r="K125" s="42" t="s">
        <v>30</v>
      </c>
      <c r="L125" s="42" t="s">
        <v>31</v>
      </c>
      <c r="M125" s="42" t="s">
        <v>32</v>
      </c>
      <c r="N125" s="42">
        <f t="shared" si="3"/>
        <v>2.0205000000000002</v>
      </c>
      <c r="O125" s="44">
        <v>2.0205000000000002</v>
      </c>
      <c r="P125" s="44"/>
      <c r="Q125" s="42">
        <f t="shared" si="4"/>
        <v>33.674999999999997</v>
      </c>
      <c r="R125" s="44">
        <v>33.674999999999997</v>
      </c>
      <c r="S125" s="44"/>
      <c r="T125" s="42">
        <f t="shared" si="5"/>
        <v>37.716000000000001</v>
      </c>
      <c r="U125" s="44">
        <v>37.716000000000001</v>
      </c>
      <c r="V125" s="44"/>
      <c r="W125" s="42" t="s">
        <v>33</v>
      </c>
      <c r="X125" s="42" t="s">
        <v>34</v>
      </c>
      <c r="Y125" s="42" t="s">
        <v>44</v>
      </c>
      <c r="Z125" s="28" t="s">
        <v>544</v>
      </c>
    </row>
    <row r="126" spans="1:26" ht="17.25" x14ac:dyDescent="0.3">
      <c r="A126" s="42" t="s">
        <v>189</v>
      </c>
      <c r="B126" s="113" t="str">
        <f t="shared" si="7"/>
        <v>DE303</v>
      </c>
      <c r="C126" s="42" t="s">
        <v>191</v>
      </c>
      <c r="D126" s="42">
        <v>30</v>
      </c>
      <c r="E126" s="42">
        <v>3</v>
      </c>
      <c r="F126" s="42" t="s">
        <v>270</v>
      </c>
      <c r="G126" s="42" t="s">
        <v>272</v>
      </c>
      <c r="H126" s="42" t="s">
        <v>28</v>
      </c>
      <c r="I126" s="42" t="s">
        <v>29</v>
      </c>
      <c r="J126" s="43">
        <v>1974</v>
      </c>
      <c r="K126" s="42" t="s">
        <v>64</v>
      </c>
      <c r="L126" s="42"/>
      <c r="M126" s="42" t="s">
        <v>32</v>
      </c>
      <c r="N126" s="42">
        <f t="shared" si="3"/>
        <v>0</v>
      </c>
      <c r="O126" s="44"/>
      <c r="P126" s="44"/>
      <c r="Q126" s="42">
        <f t="shared" si="4"/>
        <v>0</v>
      </c>
      <c r="R126" s="44"/>
      <c r="S126" s="44"/>
      <c r="T126" s="42">
        <f t="shared" si="5"/>
        <v>0</v>
      </c>
      <c r="U126" s="44"/>
      <c r="V126" s="44"/>
      <c r="W126" s="42" t="s">
        <v>33</v>
      </c>
      <c r="X126" s="42" t="s">
        <v>34</v>
      </c>
      <c r="Y126" s="42" t="s">
        <v>44</v>
      </c>
      <c r="Z126" s="28" t="s">
        <v>544</v>
      </c>
    </row>
    <row r="127" spans="1:26" ht="17.25" x14ac:dyDescent="0.3">
      <c r="A127" s="42" t="s">
        <v>189</v>
      </c>
      <c r="B127" s="113" t="str">
        <f t="shared" si="7"/>
        <v>DE304</v>
      </c>
      <c r="C127" s="42" t="s">
        <v>191</v>
      </c>
      <c r="D127" s="42">
        <v>30</v>
      </c>
      <c r="E127" s="42">
        <v>4</v>
      </c>
      <c r="F127" s="42" t="s">
        <v>270</v>
      </c>
      <c r="G127" s="42" t="s">
        <v>273</v>
      </c>
      <c r="H127" s="42" t="s">
        <v>28</v>
      </c>
      <c r="I127" s="42" t="s">
        <v>29</v>
      </c>
      <c r="J127" s="43">
        <v>1975</v>
      </c>
      <c r="K127" s="42" t="s">
        <v>64</v>
      </c>
      <c r="L127" s="42"/>
      <c r="M127" s="42" t="s">
        <v>32</v>
      </c>
      <c r="N127" s="42">
        <f t="shared" si="3"/>
        <v>0</v>
      </c>
      <c r="O127" s="44"/>
      <c r="P127" s="44"/>
      <c r="Q127" s="42">
        <f t="shared" si="4"/>
        <v>0</v>
      </c>
      <c r="R127" s="44"/>
      <c r="S127" s="44"/>
      <c r="T127" s="42">
        <f t="shared" si="5"/>
        <v>0</v>
      </c>
      <c r="U127" s="44"/>
      <c r="V127" s="44"/>
      <c r="W127" s="42" t="s">
        <v>33</v>
      </c>
      <c r="X127" s="42" t="s">
        <v>34</v>
      </c>
      <c r="Y127" s="42" t="s">
        <v>44</v>
      </c>
      <c r="Z127" s="28" t="s">
        <v>544</v>
      </c>
    </row>
    <row r="128" spans="1:26" ht="17.25" x14ac:dyDescent="0.3">
      <c r="A128" s="42" t="s">
        <v>189</v>
      </c>
      <c r="B128" s="113" t="str">
        <f t="shared" si="7"/>
        <v>DE305</v>
      </c>
      <c r="C128" s="42" t="s">
        <v>191</v>
      </c>
      <c r="D128" s="42">
        <v>30</v>
      </c>
      <c r="E128" s="42">
        <v>5</v>
      </c>
      <c r="F128" s="42" t="s">
        <v>270</v>
      </c>
      <c r="G128" s="42" t="s">
        <v>273</v>
      </c>
      <c r="H128" s="42" t="s">
        <v>28</v>
      </c>
      <c r="I128" s="42" t="s">
        <v>29</v>
      </c>
      <c r="J128" s="43">
        <v>1975</v>
      </c>
      <c r="K128" s="42" t="s">
        <v>30</v>
      </c>
      <c r="L128" s="42" t="s">
        <v>274</v>
      </c>
      <c r="M128" s="42" t="s">
        <v>32</v>
      </c>
      <c r="N128" s="42">
        <f t="shared" si="3"/>
        <v>0</v>
      </c>
      <c r="O128" s="44"/>
      <c r="P128" s="44"/>
      <c r="Q128" s="42">
        <f t="shared" si="4"/>
        <v>0</v>
      </c>
      <c r="R128" s="44"/>
      <c r="S128" s="44"/>
      <c r="T128" s="42">
        <f t="shared" si="5"/>
        <v>0</v>
      </c>
      <c r="U128" s="44"/>
      <c r="V128" s="44"/>
      <c r="W128" s="42" t="s">
        <v>33</v>
      </c>
      <c r="X128" s="42" t="s">
        <v>34</v>
      </c>
      <c r="Y128" s="42" t="s">
        <v>44</v>
      </c>
      <c r="Z128" s="28" t="s">
        <v>544</v>
      </c>
    </row>
    <row r="129" spans="1:26" s="26" customFormat="1" ht="15" customHeight="1" x14ac:dyDescent="0.25">
      <c r="A129" s="109" t="s">
        <v>189</v>
      </c>
      <c r="B129" s="21" t="str">
        <f t="shared" si="7"/>
        <v>DE</v>
      </c>
      <c r="C129" s="21" t="s">
        <v>191</v>
      </c>
      <c r="D129" s="21"/>
      <c r="E129" s="21"/>
      <c r="F129" s="110" t="s">
        <v>270</v>
      </c>
      <c r="G129" s="110" t="s">
        <v>277</v>
      </c>
      <c r="H129" s="21" t="s">
        <v>28</v>
      </c>
      <c r="I129" s="21" t="s">
        <v>29</v>
      </c>
      <c r="J129" s="22"/>
      <c r="K129" s="21" t="s">
        <v>102</v>
      </c>
      <c r="L129" s="21"/>
      <c r="M129" s="21" t="s">
        <v>32</v>
      </c>
      <c r="N129" s="21">
        <f t="shared" si="3"/>
        <v>23.487400000000001</v>
      </c>
      <c r="O129" s="24">
        <v>23.487400000000001</v>
      </c>
      <c r="P129" s="24"/>
      <c r="Q129" s="21">
        <f t="shared" si="4"/>
        <v>496.15030000000002</v>
      </c>
      <c r="R129" s="24">
        <v>496.15030000000002</v>
      </c>
      <c r="S129" s="24"/>
      <c r="T129" s="21">
        <f t="shared" si="5"/>
        <v>294.97390000000001</v>
      </c>
      <c r="U129" s="24">
        <v>294.97390000000001</v>
      </c>
      <c r="V129" s="24"/>
      <c r="W129" s="21" t="s">
        <v>33</v>
      </c>
      <c r="X129" s="109" t="s">
        <v>44</v>
      </c>
      <c r="Y129" s="109" t="s">
        <v>34</v>
      </c>
      <c r="Z129" s="28" t="s">
        <v>544</v>
      </c>
    </row>
    <row r="130" spans="1:26" ht="17.25" x14ac:dyDescent="0.3">
      <c r="A130" s="16" t="s">
        <v>278</v>
      </c>
      <c r="B130" s="112" t="str">
        <f t="shared" si="7"/>
        <v>GR11</v>
      </c>
      <c r="C130" s="16" t="s">
        <v>279</v>
      </c>
      <c r="D130" s="16">
        <v>1</v>
      </c>
      <c r="E130" s="16">
        <v>1</v>
      </c>
      <c r="F130" s="16" t="s">
        <v>280</v>
      </c>
      <c r="G130" s="16" t="s">
        <v>281</v>
      </c>
      <c r="H130" s="16" t="s">
        <v>85</v>
      </c>
      <c r="I130" s="16" t="s">
        <v>94</v>
      </c>
      <c r="J130" s="17">
        <v>2022</v>
      </c>
      <c r="K130" s="16" t="s">
        <v>30</v>
      </c>
      <c r="L130" s="16" t="s">
        <v>31</v>
      </c>
      <c r="M130" s="16" t="s">
        <v>32</v>
      </c>
      <c r="N130" s="18">
        <f t="shared" ref="N130:N192" si="8">O130+P130</f>
        <v>3.8605</v>
      </c>
      <c r="O130" s="20">
        <f>350*11.03/1000</f>
        <v>3.8605</v>
      </c>
      <c r="P130" s="20"/>
      <c r="Q130" s="18">
        <f t="shared" ref="Q130:Q192" si="9">R130+S130</f>
        <v>44.12</v>
      </c>
      <c r="R130" s="20">
        <f>4*11.03</f>
        <v>44.12</v>
      </c>
      <c r="S130" s="20"/>
      <c r="T130" s="19">
        <f t="shared" ref="T130:T192" si="10">U130+V130</f>
        <v>55.15</v>
      </c>
      <c r="U130" s="20">
        <f>5*11.03</f>
        <v>55.15</v>
      </c>
      <c r="V130" s="20"/>
      <c r="W130" s="16" t="s">
        <v>78</v>
      </c>
      <c r="X130" s="152" t="s">
        <v>34</v>
      </c>
      <c r="Y130" s="152" t="s">
        <v>34</v>
      </c>
      <c r="Z130" s="28" t="s">
        <v>544</v>
      </c>
    </row>
    <row r="131" spans="1:26" ht="17.25" customHeight="1" x14ac:dyDescent="0.3">
      <c r="A131" s="42" t="s">
        <v>282</v>
      </c>
      <c r="B131" s="113" t="str">
        <f t="shared" si="7"/>
        <v>HU11</v>
      </c>
      <c r="C131" s="42" t="s">
        <v>283</v>
      </c>
      <c r="D131" s="42">
        <v>1</v>
      </c>
      <c r="E131" s="42">
        <v>1</v>
      </c>
      <c r="F131" s="42" t="s">
        <v>284</v>
      </c>
      <c r="G131" s="42" t="s">
        <v>286</v>
      </c>
      <c r="H131" s="42" t="s">
        <v>28</v>
      </c>
      <c r="I131" s="42" t="s">
        <v>29</v>
      </c>
      <c r="J131" s="43">
        <v>1981</v>
      </c>
      <c r="K131" s="42" t="s">
        <v>169</v>
      </c>
      <c r="L131" s="42"/>
      <c r="M131" s="42" t="s">
        <v>32</v>
      </c>
      <c r="N131" s="55">
        <f t="shared" si="8"/>
        <v>17.547999999999998</v>
      </c>
      <c r="O131" s="44">
        <v>17.547999999999998</v>
      </c>
      <c r="P131" s="44"/>
      <c r="Q131" s="55">
        <f t="shared" si="9"/>
        <v>211.86</v>
      </c>
      <c r="R131" s="44">
        <v>211.86</v>
      </c>
      <c r="S131" s="44"/>
      <c r="T131" s="55">
        <f t="shared" si="10"/>
        <v>107.86</v>
      </c>
      <c r="U131" s="44">
        <v>107.86</v>
      </c>
      <c r="V131" s="44"/>
      <c r="W131" s="42" t="s">
        <v>78</v>
      </c>
      <c r="X131" s="152" t="s">
        <v>34</v>
      </c>
      <c r="Y131" s="152" t="s">
        <v>34</v>
      </c>
      <c r="Z131" s="28" t="s">
        <v>544</v>
      </c>
    </row>
    <row r="132" spans="1:26" ht="17.25" x14ac:dyDescent="0.3">
      <c r="A132" s="42" t="s">
        <v>282</v>
      </c>
      <c r="B132" s="113" t="str">
        <f t="shared" ref="B132:B163" si="11">CONCATENATE(C132,D132,E132)</f>
        <v>HU12</v>
      </c>
      <c r="C132" s="42" t="s">
        <v>283</v>
      </c>
      <c r="D132" s="42">
        <v>1</v>
      </c>
      <c r="E132" s="42">
        <v>2</v>
      </c>
      <c r="F132" s="42" t="s">
        <v>284</v>
      </c>
      <c r="G132" s="42" t="s">
        <v>287</v>
      </c>
      <c r="H132" s="42" t="s">
        <v>28</v>
      </c>
      <c r="I132" s="42" t="s">
        <v>29</v>
      </c>
      <c r="J132" s="43">
        <v>1978</v>
      </c>
      <c r="K132" s="42" t="s">
        <v>169</v>
      </c>
      <c r="L132" s="42"/>
      <c r="M132" s="42" t="s">
        <v>32</v>
      </c>
      <c r="N132" s="55">
        <f t="shared" si="8"/>
        <v>2.996</v>
      </c>
      <c r="O132" s="44">
        <v>2.996</v>
      </c>
      <c r="P132" s="44"/>
      <c r="Q132" s="55">
        <f t="shared" si="9"/>
        <v>31.03</v>
      </c>
      <c r="R132" s="44">
        <v>31.03</v>
      </c>
      <c r="S132" s="44"/>
      <c r="T132" s="55">
        <f t="shared" si="10"/>
        <v>23.01</v>
      </c>
      <c r="U132" s="44">
        <v>23.01</v>
      </c>
      <c r="V132" s="44"/>
      <c r="W132" s="42" t="s">
        <v>78</v>
      </c>
      <c r="X132" s="152" t="s">
        <v>34</v>
      </c>
      <c r="Y132" s="152" t="s">
        <v>34</v>
      </c>
      <c r="Z132" s="28" t="s">
        <v>544</v>
      </c>
    </row>
    <row r="133" spans="1:26" ht="17.25" x14ac:dyDescent="0.3">
      <c r="A133" s="42" t="s">
        <v>282</v>
      </c>
      <c r="B133" s="113" t="str">
        <f t="shared" si="11"/>
        <v>HU13</v>
      </c>
      <c r="C133" s="42" t="s">
        <v>283</v>
      </c>
      <c r="D133" s="42">
        <v>1</v>
      </c>
      <c r="E133" s="42">
        <v>3</v>
      </c>
      <c r="F133" s="42" t="s">
        <v>284</v>
      </c>
      <c r="G133" s="42" t="s">
        <v>288</v>
      </c>
      <c r="H133" s="42" t="s">
        <v>28</v>
      </c>
      <c r="I133" s="42" t="s">
        <v>29</v>
      </c>
      <c r="J133" s="43">
        <v>1979</v>
      </c>
      <c r="K133" s="42" t="s">
        <v>169</v>
      </c>
      <c r="L133" s="42"/>
      <c r="M133" s="42" t="s">
        <v>32</v>
      </c>
      <c r="N133" s="55">
        <f t="shared" si="8"/>
        <v>3.6379999999999999</v>
      </c>
      <c r="O133" s="44">
        <v>3.6379999999999999</v>
      </c>
      <c r="P133" s="44"/>
      <c r="Q133" s="55">
        <f t="shared" si="9"/>
        <v>31.03</v>
      </c>
      <c r="R133" s="44">
        <v>31.03</v>
      </c>
      <c r="S133" s="44"/>
      <c r="T133" s="55">
        <f t="shared" si="10"/>
        <v>30.82</v>
      </c>
      <c r="U133" s="44">
        <v>30.82</v>
      </c>
      <c r="V133" s="44"/>
      <c r="W133" s="42" t="s">
        <v>78</v>
      </c>
      <c r="X133" s="152" t="s">
        <v>34</v>
      </c>
      <c r="Y133" s="152" t="s">
        <v>34</v>
      </c>
      <c r="Z133" s="28" t="s">
        <v>544</v>
      </c>
    </row>
    <row r="134" spans="1:26" ht="17.25" x14ac:dyDescent="0.3">
      <c r="A134" s="42" t="s">
        <v>282</v>
      </c>
      <c r="B134" s="113" t="str">
        <f t="shared" si="11"/>
        <v>HU14</v>
      </c>
      <c r="C134" s="42" t="s">
        <v>283</v>
      </c>
      <c r="D134" s="42">
        <v>1</v>
      </c>
      <c r="E134" s="42">
        <v>4</v>
      </c>
      <c r="F134" s="42" t="s">
        <v>284</v>
      </c>
      <c r="G134" s="42" t="s">
        <v>289</v>
      </c>
      <c r="H134" s="42" t="s">
        <v>28</v>
      </c>
      <c r="I134" s="42" t="s">
        <v>29</v>
      </c>
      <c r="J134" s="43">
        <v>1996</v>
      </c>
      <c r="K134" s="42" t="s">
        <v>169</v>
      </c>
      <c r="L134" s="42"/>
      <c r="M134" s="42" t="s">
        <v>32</v>
      </c>
      <c r="N134" s="55">
        <f t="shared" si="8"/>
        <v>23.219000000000001</v>
      </c>
      <c r="O134" s="44">
        <v>23.219000000000001</v>
      </c>
      <c r="P134" s="44"/>
      <c r="Q134" s="55">
        <f t="shared" si="9"/>
        <v>299.60000000000002</v>
      </c>
      <c r="R134" s="44">
        <v>299.60000000000002</v>
      </c>
      <c r="S134" s="44"/>
      <c r="T134" s="55">
        <f t="shared" si="10"/>
        <v>181.9</v>
      </c>
      <c r="U134" s="44">
        <v>181.9</v>
      </c>
      <c r="V134" s="44"/>
      <c r="W134" s="42" t="s">
        <v>78</v>
      </c>
      <c r="X134" s="152" t="s">
        <v>34</v>
      </c>
      <c r="Y134" s="152" t="s">
        <v>34</v>
      </c>
      <c r="Z134" s="28" t="s">
        <v>544</v>
      </c>
    </row>
    <row r="135" spans="1:26" s="26" customFormat="1" ht="15" customHeight="1" x14ac:dyDescent="0.25">
      <c r="A135" s="109" t="s">
        <v>282</v>
      </c>
      <c r="B135" s="21" t="str">
        <f t="shared" si="11"/>
        <v>HU1</v>
      </c>
      <c r="C135" s="21" t="s">
        <v>283</v>
      </c>
      <c r="D135" s="21">
        <v>1</v>
      </c>
      <c r="E135" s="21"/>
      <c r="F135" s="110" t="s">
        <v>284</v>
      </c>
      <c r="G135" s="110" t="s">
        <v>285</v>
      </c>
      <c r="H135" s="21" t="s">
        <v>28</v>
      </c>
      <c r="I135" s="21" t="s">
        <v>29</v>
      </c>
      <c r="J135" s="22"/>
      <c r="K135" s="21" t="s">
        <v>169</v>
      </c>
      <c r="L135" s="21"/>
      <c r="M135" s="21" t="s">
        <v>32</v>
      </c>
      <c r="N135" s="21">
        <f t="shared" si="8"/>
        <v>47.400999999999996</v>
      </c>
      <c r="O135" s="24">
        <f>SUM(O131:O134)</f>
        <v>47.400999999999996</v>
      </c>
      <c r="P135" s="24"/>
      <c r="Q135" s="21">
        <f t="shared" si="9"/>
        <v>617.64</v>
      </c>
      <c r="R135" s="24">
        <f>SUM(R130:R134)</f>
        <v>617.64</v>
      </c>
      <c r="S135" s="24"/>
      <c r="T135" s="21">
        <f t="shared" si="10"/>
        <v>398.74</v>
      </c>
      <c r="U135" s="24">
        <f>SUM(U130:U134)</f>
        <v>398.74</v>
      </c>
      <c r="V135" s="24"/>
      <c r="W135" s="21" t="s">
        <v>78</v>
      </c>
      <c r="X135" s="109" t="s">
        <v>44</v>
      </c>
      <c r="Y135" s="109" t="s">
        <v>44</v>
      </c>
      <c r="Z135" s="28" t="s">
        <v>544</v>
      </c>
    </row>
    <row r="136" spans="1:26" ht="17.25" x14ac:dyDescent="0.3">
      <c r="A136" s="16" t="s">
        <v>282</v>
      </c>
      <c r="B136" s="112" t="str">
        <f t="shared" si="11"/>
        <v>HU21</v>
      </c>
      <c r="C136" s="16" t="s">
        <v>283</v>
      </c>
      <c r="D136" s="16">
        <v>2</v>
      </c>
      <c r="E136" s="16">
        <v>1</v>
      </c>
      <c r="F136" s="16" t="s">
        <v>290</v>
      </c>
      <c r="G136" s="16" t="s">
        <v>291</v>
      </c>
      <c r="H136" s="16" t="s">
        <v>28</v>
      </c>
      <c r="I136" s="16" t="s">
        <v>29</v>
      </c>
      <c r="J136" s="17">
        <v>2009</v>
      </c>
      <c r="K136" s="16" t="s">
        <v>30</v>
      </c>
      <c r="L136" s="16" t="s">
        <v>292</v>
      </c>
      <c r="M136" s="16" t="s">
        <v>32</v>
      </c>
      <c r="N136" s="18">
        <f t="shared" si="8"/>
        <v>20.1129</v>
      </c>
      <c r="O136" s="20">
        <v>20.1129</v>
      </c>
      <c r="P136" s="20"/>
      <c r="Q136" s="18">
        <f t="shared" si="9"/>
        <v>263.89999999999998</v>
      </c>
      <c r="R136" s="20">
        <v>263.89999999999998</v>
      </c>
      <c r="S136" s="20"/>
      <c r="T136" s="19">
        <f t="shared" si="10"/>
        <v>134.06200000000001</v>
      </c>
      <c r="U136" s="20">
        <v>134.06200000000001</v>
      </c>
      <c r="V136" s="20"/>
      <c r="W136" s="16" t="s">
        <v>78</v>
      </c>
      <c r="X136" s="152" t="s">
        <v>34</v>
      </c>
      <c r="Y136" s="152" t="s">
        <v>34</v>
      </c>
      <c r="Z136" s="28" t="s">
        <v>544</v>
      </c>
    </row>
    <row r="137" spans="1:26" ht="17.25" x14ac:dyDescent="0.3">
      <c r="A137" s="42" t="s">
        <v>293</v>
      </c>
      <c r="B137" s="113" t="str">
        <f t="shared" si="11"/>
        <v>IT11</v>
      </c>
      <c r="C137" s="42" t="s">
        <v>296</v>
      </c>
      <c r="D137" s="42">
        <v>1</v>
      </c>
      <c r="E137" s="42">
        <v>1</v>
      </c>
      <c r="F137" s="42" t="s">
        <v>297</v>
      </c>
      <c r="G137" s="42" t="s">
        <v>299</v>
      </c>
      <c r="H137" s="42" t="s">
        <v>28</v>
      </c>
      <c r="I137" s="42" t="s">
        <v>29</v>
      </c>
      <c r="J137" s="43">
        <v>1984</v>
      </c>
      <c r="K137" s="42" t="s">
        <v>169</v>
      </c>
      <c r="L137" s="42" t="s">
        <v>31</v>
      </c>
      <c r="M137" s="42" t="s">
        <v>32</v>
      </c>
      <c r="N137" s="55">
        <f t="shared" si="8"/>
        <v>3.1718249999999948E-2</v>
      </c>
      <c r="O137" s="44"/>
      <c r="P137" s="44">
        <v>3.1718249999999948E-2</v>
      </c>
      <c r="Q137" s="55">
        <f t="shared" si="9"/>
        <v>0</v>
      </c>
      <c r="R137" s="44"/>
      <c r="S137" s="44">
        <v>0</v>
      </c>
      <c r="T137" s="55">
        <f t="shared" si="10"/>
        <v>0</v>
      </c>
      <c r="U137" s="44"/>
      <c r="V137" s="44">
        <v>0</v>
      </c>
      <c r="W137" s="42" t="s">
        <v>78</v>
      </c>
      <c r="X137" s="152" t="s">
        <v>34</v>
      </c>
      <c r="Y137" s="152" t="s">
        <v>44</v>
      </c>
      <c r="Z137" s="28" t="s">
        <v>544</v>
      </c>
    </row>
    <row r="138" spans="1:26" ht="17.25" x14ac:dyDescent="0.3">
      <c r="A138" s="42" t="s">
        <v>293</v>
      </c>
      <c r="B138" s="113" t="str">
        <f t="shared" si="11"/>
        <v>IT12</v>
      </c>
      <c r="C138" s="42" t="s">
        <v>296</v>
      </c>
      <c r="D138" s="42">
        <v>1</v>
      </c>
      <c r="E138" s="42">
        <v>2</v>
      </c>
      <c r="F138" s="42" t="s">
        <v>297</v>
      </c>
      <c r="G138" s="42" t="s">
        <v>300</v>
      </c>
      <c r="H138" s="42" t="s">
        <v>28</v>
      </c>
      <c r="I138" s="42" t="s">
        <v>29</v>
      </c>
      <c r="J138" s="43">
        <v>1994</v>
      </c>
      <c r="K138" s="42" t="s">
        <v>169</v>
      </c>
      <c r="L138" s="42" t="s">
        <v>31</v>
      </c>
      <c r="M138" s="42" t="s">
        <v>32</v>
      </c>
      <c r="N138" s="55">
        <f t="shared" si="8"/>
        <v>0.21145499999999995</v>
      </c>
      <c r="O138" s="44"/>
      <c r="P138" s="44">
        <v>0.21145499999999995</v>
      </c>
      <c r="Q138" s="55">
        <f t="shared" si="9"/>
        <v>37.00462499999999</v>
      </c>
      <c r="R138" s="44"/>
      <c r="S138" s="44">
        <v>37.00462499999999</v>
      </c>
      <c r="T138" s="55">
        <f t="shared" si="10"/>
        <v>20.088225000000001</v>
      </c>
      <c r="U138" s="44"/>
      <c r="V138" s="44">
        <v>20.088225000000001</v>
      </c>
      <c r="W138" s="42" t="s">
        <v>78</v>
      </c>
      <c r="X138" s="152" t="s">
        <v>34</v>
      </c>
      <c r="Y138" s="152" t="s">
        <v>44</v>
      </c>
      <c r="Z138" s="28" t="s">
        <v>544</v>
      </c>
    </row>
    <row r="139" spans="1:26" ht="17.25" x14ac:dyDescent="0.3">
      <c r="A139" s="42" t="s">
        <v>293</v>
      </c>
      <c r="B139" s="113" t="str">
        <f t="shared" si="11"/>
        <v>IT13</v>
      </c>
      <c r="C139" s="42" t="s">
        <v>296</v>
      </c>
      <c r="D139" s="42">
        <v>1</v>
      </c>
      <c r="E139" s="42">
        <v>3</v>
      </c>
      <c r="F139" s="42" t="s">
        <v>297</v>
      </c>
      <c r="G139" s="42" t="s">
        <v>301</v>
      </c>
      <c r="H139" s="42" t="s">
        <v>28</v>
      </c>
      <c r="I139" s="42" t="s">
        <v>29</v>
      </c>
      <c r="J139" s="43">
        <v>2013</v>
      </c>
      <c r="K139" s="42" t="s">
        <v>169</v>
      </c>
      <c r="L139" s="42" t="s">
        <v>31</v>
      </c>
      <c r="M139" s="42" t="s">
        <v>32</v>
      </c>
      <c r="N139" s="55">
        <f t="shared" si="8"/>
        <v>0.24317325000000034</v>
      </c>
      <c r="O139" s="44"/>
      <c r="P139" s="44">
        <v>0.24317325000000034</v>
      </c>
      <c r="Q139" s="55">
        <f t="shared" si="9"/>
        <v>56.035575000000001</v>
      </c>
      <c r="R139" s="44"/>
      <c r="S139" s="44">
        <v>56.035575000000001</v>
      </c>
      <c r="T139" s="55">
        <f t="shared" si="10"/>
        <v>61.533404999999995</v>
      </c>
      <c r="U139" s="44"/>
      <c r="V139" s="44">
        <v>61.533404999999995</v>
      </c>
      <c r="W139" s="42" t="s">
        <v>78</v>
      </c>
      <c r="X139" s="152" t="s">
        <v>34</v>
      </c>
      <c r="Y139" s="152" t="s">
        <v>44</v>
      </c>
      <c r="Z139" s="28" t="s">
        <v>544</v>
      </c>
    </row>
    <row r="140" spans="1:26" s="26" customFormat="1" ht="15" customHeight="1" x14ac:dyDescent="0.25">
      <c r="A140" s="109" t="s">
        <v>293</v>
      </c>
      <c r="B140" s="21" t="str">
        <f t="shared" si="11"/>
        <v>IT1</v>
      </c>
      <c r="C140" s="21" t="s">
        <v>296</v>
      </c>
      <c r="D140" s="21">
        <v>1</v>
      </c>
      <c r="E140" s="21"/>
      <c r="F140" s="110" t="s">
        <v>297</v>
      </c>
      <c r="G140" s="110" t="s">
        <v>298</v>
      </c>
      <c r="H140" s="21" t="s">
        <v>28</v>
      </c>
      <c r="I140" s="21" t="s">
        <v>29</v>
      </c>
      <c r="J140" s="22"/>
      <c r="K140" s="21" t="s">
        <v>169</v>
      </c>
      <c r="L140" s="21" t="s">
        <v>31</v>
      </c>
      <c r="M140" s="21" t="s">
        <v>32</v>
      </c>
      <c r="N140" s="24">
        <f t="shared" si="8"/>
        <v>11.324446500000001</v>
      </c>
      <c r="O140" s="24">
        <v>10.838100000000001</v>
      </c>
      <c r="P140" s="24">
        <f>SUM(P137:P139)</f>
        <v>0.48634650000000024</v>
      </c>
      <c r="Q140" s="24">
        <f t="shared" si="9"/>
        <v>186.64019999999999</v>
      </c>
      <c r="R140" s="24">
        <v>93.6</v>
      </c>
      <c r="S140" s="24">
        <f>SUM(S137:S139)</f>
        <v>93.040199999999999</v>
      </c>
      <c r="T140" s="24">
        <f t="shared" si="10"/>
        <v>156.50162999999998</v>
      </c>
      <c r="U140" s="24">
        <v>74.88</v>
      </c>
      <c r="V140" s="24">
        <f>SUM(V137:V139)</f>
        <v>81.621629999999996</v>
      </c>
      <c r="W140" s="21" t="s">
        <v>78</v>
      </c>
      <c r="X140" s="109" t="s">
        <v>44</v>
      </c>
      <c r="Y140" s="109" t="s">
        <v>34</v>
      </c>
      <c r="Z140" s="28" t="s">
        <v>544</v>
      </c>
    </row>
    <row r="141" spans="1:26" s="47" customFormat="1" ht="17.25" x14ac:dyDescent="0.3">
      <c r="A141" s="16" t="s">
        <v>293</v>
      </c>
      <c r="B141" s="112" t="str">
        <f t="shared" si="11"/>
        <v>IT61</v>
      </c>
      <c r="C141" s="16" t="s">
        <v>296</v>
      </c>
      <c r="D141" s="16">
        <v>6</v>
      </c>
      <c r="E141" s="16">
        <v>1</v>
      </c>
      <c r="F141" s="16" t="s">
        <v>530</v>
      </c>
      <c r="G141" s="16" t="s">
        <v>302</v>
      </c>
      <c r="H141" s="16" t="s">
        <v>85</v>
      </c>
      <c r="I141" s="16" t="s">
        <v>531</v>
      </c>
      <c r="J141" s="17"/>
      <c r="K141" s="16" t="s">
        <v>169</v>
      </c>
      <c r="L141" s="16"/>
      <c r="M141" s="16" t="s">
        <v>32</v>
      </c>
      <c r="N141" s="31">
        <f t="shared" si="8"/>
        <v>7.2162000000000006</v>
      </c>
      <c r="O141" s="31">
        <f>0.633*11.4</f>
        <v>7.2162000000000006</v>
      </c>
      <c r="P141" s="31"/>
      <c r="Q141" s="16">
        <f t="shared" si="9"/>
        <v>0</v>
      </c>
      <c r="R141" s="31"/>
      <c r="S141" s="31"/>
      <c r="T141" s="16">
        <f t="shared" si="10"/>
        <v>0</v>
      </c>
      <c r="U141" s="31"/>
      <c r="V141" s="31"/>
      <c r="W141" s="16" t="s">
        <v>78</v>
      </c>
      <c r="X141" s="16" t="s">
        <v>34</v>
      </c>
      <c r="Y141" s="16" t="s">
        <v>34</v>
      </c>
      <c r="Z141" s="28" t="s">
        <v>544</v>
      </c>
    </row>
    <row r="142" spans="1:26" s="47" customFormat="1" ht="17.25" x14ac:dyDescent="0.3">
      <c r="A142" s="16" t="s">
        <v>293</v>
      </c>
      <c r="B142" s="112" t="str">
        <f t="shared" si="11"/>
        <v>IT16</v>
      </c>
      <c r="C142" s="16" t="s">
        <v>296</v>
      </c>
      <c r="D142" s="16">
        <v>1</v>
      </c>
      <c r="E142" s="16">
        <v>6</v>
      </c>
      <c r="F142" s="16" t="s">
        <v>297</v>
      </c>
      <c r="G142" s="16" t="s">
        <v>303</v>
      </c>
      <c r="H142" s="16" t="s">
        <v>85</v>
      </c>
      <c r="I142" s="16" t="s">
        <v>531</v>
      </c>
      <c r="J142" s="17">
        <v>2019</v>
      </c>
      <c r="K142" s="16" t="s">
        <v>169</v>
      </c>
      <c r="L142" s="16" t="s">
        <v>31</v>
      </c>
      <c r="M142" s="16" t="s">
        <v>32</v>
      </c>
      <c r="N142" s="31">
        <f t="shared" si="8"/>
        <v>0.57000000000000006</v>
      </c>
      <c r="O142" s="31">
        <f>0.05*11.4</f>
        <v>0.57000000000000006</v>
      </c>
      <c r="P142" s="31"/>
      <c r="Q142" s="31">
        <f t="shared" si="9"/>
        <v>9.5154750000000003</v>
      </c>
      <c r="R142" s="31">
        <v>9.5154750000000003</v>
      </c>
      <c r="S142" s="31"/>
      <c r="T142" s="16">
        <f t="shared" si="10"/>
        <v>9.5154750000000003</v>
      </c>
      <c r="U142" s="31">
        <v>9.5154750000000003</v>
      </c>
      <c r="V142" s="31"/>
      <c r="W142" s="16" t="s">
        <v>78</v>
      </c>
      <c r="X142" s="16" t="s">
        <v>34</v>
      </c>
      <c r="Y142" s="16" t="s">
        <v>34</v>
      </c>
      <c r="Z142" s="28" t="s">
        <v>544</v>
      </c>
    </row>
    <row r="143" spans="1:26" ht="17.25" x14ac:dyDescent="0.3">
      <c r="A143" s="16" t="s">
        <v>293</v>
      </c>
      <c r="B143" s="112" t="str">
        <f t="shared" si="11"/>
        <v>IT21</v>
      </c>
      <c r="C143" s="16" t="s">
        <v>296</v>
      </c>
      <c r="D143" s="16">
        <v>2</v>
      </c>
      <c r="E143" s="16">
        <v>1</v>
      </c>
      <c r="F143" s="16" t="s">
        <v>304</v>
      </c>
      <c r="G143" s="16" t="s">
        <v>305</v>
      </c>
      <c r="H143" s="16" t="s">
        <v>85</v>
      </c>
      <c r="I143" s="16" t="s">
        <v>94</v>
      </c>
      <c r="J143" s="17"/>
      <c r="K143" s="16" t="s">
        <v>169</v>
      </c>
      <c r="L143" s="16"/>
      <c r="M143" s="16" t="s">
        <v>32</v>
      </c>
      <c r="N143" s="18">
        <f t="shared" si="8"/>
        <v>5.742</v>
      </c>
      <c r="O143" s="20">
        <f>522*11/1000/3*2</f>
        <v>3.8279999999999998</v>
      </c>
      <c r="P143" s="20">
        <f>522*11/1000/3</f>
        <v>1.9139999999999999</v>
      </c>
      <c r="Q143" s="18">
        <f t="shared" si="9"/>
        <v>65.34</v>
      </c>
      <c r="R143" s="20">
        <f>5.94*11</f>
        <v>65.34</v>
      </c>
      <c r="S143" s="20"/>
      <c r="T143" s="19">
        <f t="shared" si="10"/>
        <v>65.34</v>
      </c>
      <c r="U143" s="20">
        <f>5.94*11</f>
        <v>65.34</v>
      </c>
      <c r="V143" s="20"/>
      <c r="W143" s="16" t="s">
        <v>78</v>
      </c>
      <c r="X143" s="152" t="s">
        <v>34</v>
      </c>
      <c r="Y143" s="152" t="s">
        <v>34</v>
      </c>
      <c r="Z143" s="28" t="s">
        <v>544</v>
      </c>
    </row>
    <row r="144" spans="1:26" ht="17.25" x14ac:dyDescent="0.3">
      <c r="A144" s="16" t="s">
        <v>293</v>
      </c>
      <c r="B144" s="112" t="str">
        <f t="shared" si="11"/>
        <v>IT22</v>
      </c>
      <c r="C144" s="16" t="s">
        <v>296</v>
      </c>
      <c r="D144" s="16">
        <v>2</v>
      </c>
      <c r="E144" s="16">
        <v>2</v>
      </c>
      <c r="F144" s="16" t="s">
        <v>304</v>
      </c>
      <c r="G144" s="16" t="s">
        <v>306</v>
      </c>
      <c r="H144" s="16" t="s">
        <v>85</v>
      </c>
      <c r="I144" s="16" t="s">
        <v>94</v>
      </c>
      <c r="J144" s="17"/>
      <c r="K144" s="16" t="s">
        <v>169</v>
      </c>
      <c r="L144" s="16"/>
      <c r="M144" s="16" t="s">
        <v>32</v>
      </c>
      <c r="N144" s="18">
        <f t="shared" si="8"/>
        <v>1.8260000000000001</v>
      </c>
      <c r="O144" s="20">
        <f>166*11/1000/3*2</f>
        <v>1.2173333333333334</v>
      </c>
      <c r="P144" s="20">
        <f>166*11/1000/3</f>
        <v>0.60866666666666669</v>
      </c>
      <c r="Q144" s="18">
        <f t="shared" si="9"/>
        <v>18.7</v>
      </c>
      <c r="R144" s="20">
        <f>1.7*11</f>
        <v>18.7</v>
      </c>
      <c r="S144" s="20"/>
      <c r="T144" s="19">
        <f t="shared" si="10"/>
        <v>18.7</v>
      </c>
      <c r="U144" s="20">
        <f>1.7*11</f>
        <v>18.7</v>
      </c>
      <c r="V144" s="20"/>
      <c r="W144" s="16" t="s">
        <v>78</v>
      </c>
      <c r="X144" s="152" t="s">
        <v>34</v>
      </c>
      <c r="Y144" s="152" t="s">
        <v>34</v>
      </c>
      <c r="Z144" s="28" t="s">
        <v>544</v>
      </c>
    </row>
    <row r="145" spans="1:26" ht="17.25" x14ac:dyDescent="0.3">
      <c r="A145" s="16" t="s">
        <v>293</v>
      </c>
      <c r="B145" s="112" t="str">
        <f t="shared" si="11"/>
        <v>IT23</v>
      </c>
      <c r="C145" s="16" t="s">
        <v>296</v>
      </c>
      <c r="D145" s="16">
        <v>2</v>
      </c>
      <c r="E145" s="16">
        <v>3</v>
      </c>
      <c r="F145" s="16" t="s">
        <v>304</v>
      </c>
      <c r="G145" s="16" t="s">
        <v>307</v>
      </c>
      <c r="H145" s="16" t="s">
        <v>85</v>
      </c>
      <c r="I145" s="16" t="s">
        <v>94</v>
      </c>
      <c r="J145" s="17"/>
      <c r="K145" s="16" t="s">
        <v>169</v>
      </c>
      <c r="L145" s="16"/>
      <c r="M145" s="16" t="s">
        <v>32</v>
      </c>
      <c r="N145" s="18">
        <f t="shared" si="8"/>
        <v>3.5640000000000001</v>
      </c>
      <c r="O145" s="20">
        <f>324*11/1000/3*2</f>
        <v>2.3759999999999999</v>
      </c>
      <c r="P145" s="20">
        <f>324*11/1000/3</f>
        <v>1.1879999999999999</v>
      </c>
      <c r="Q145" s="18">
        <f t="shared" si="9"/>
        <v>35.200000000000003</v>
      </c>
      <c r="R145" s="20">
        <f>3.2*11</f>
        <v>35.200000000000003</v>
      </c>
      <c r="S145" s="20"/>
      <c r="T145" s="19">
        <f t="shared" si="10"/>
        <v>35.200000000000003</v>
      </c>
      <c r="U145" s="20">
        <f>3.2*11</f>
        <v>35.200000000000003</v>
      </c>
      <c r="V145" s="20"/>
      <c r="W145" s="16" t="s">
        <v>78</v>
      </c>
      <c r="X145" s="152" t="s">
        <v>34</v>
      </c>
      <c r="Y145" s="152" t="s">
        <v>34</v>
      </c>
      <c r="Z145" s="28" t="s">
        <v>544</v>
      </c>
    </row>
    <row r="146" spans="1:26" ht="17.25" x14ac:dyDescent="0.3">
      <c r="A146" s="16" t="s">
        <v>293</v>
      </c>
      <c r="B146" s="112" t="str">
        <f t="shared" si="11"/>
        <v>IT31</v>
      </c>
      <c r="C146" s="16" t="s">
        <v>296</v>
      </c>
      <c r="D146" s="16">
        <v>3</v>
      </c>
      <c r="E146" s="16">
        <v>1</v>
      </c>
      <c r="F146" s="16" t="s">
        <v>308</v>
      </c>
      <c r="G146" s="16" t="s">
        <v>309</v>
      </c>
      <c r="H146" s="16" t="s">
        <v>85</v>
      </c>
      <c r="I146" s="16" t="s">
        <v>94</v>
      </c>
      <c r="J146" s="17"/>
      <c r="K146" s="16" t="s">
        <v>30</v>
      </c>
      <c r="L146" s="16"/>
      <c r="M146" s="16" t="s">
        <v>32</v>
      </c>
      <c r="N146" s="18">
        <f t="shared" si="8"/>
        <v>8.8000000000000007</v>
      </c>
      <c r="O146" s="20">
        <f>800*11/1000</f>
        <v>8.8000000000000007</v>
      </c>
      <c r="P146" s="20"/>
      <c r="Q146" s="18">
        <f t="shared" si="9"/>
        <v>110</v>
      </c>
      <c r="R146" s="20">
        <f>10*11</f>
        <v>110</v>
      </c>
      <c r="S146" s="20"/>
      <c r="T146" s="19">
        <f t="shared" si="10"/>
        <v>110</v>
      </c>
      <c r="U146" s="20">
        <f>10*11</f>
        <v>110</v>
      </c>
      <c r="V146" s="20"/>
      <c r="W146" s="16" t="s">
        <v>78</v>
      </c>
      <c r="X146" s="152" t="s">
        <v>34</v>
      </c>
      <c r="Y146" s="152" t="s">
        <v>34</v>
      </c>
      <c r="Z146" s="28" t="s">
        <v>544</v>
      </c>
    </row>
    <row r="147" spans="1:26" ht="17.25" x14ac:dyDescent="0.3">
      <c r="A147" s="16" t="s">
        <v>293</v>
      </c>
      <c r="B147" s="112" t="str">
        <f t="shared" si="11"/>
        <v>IT41</v>
      </c>
      <c r="C147" s="16" t="s">
        <v>296</v>
      </c>
      <c r="D147" s="16">
        <v>4</v>
      </c>
      <c r="E147" s="16">
        <v>1</v>
      </c>
      <c r="F147" s="16" t="s">
        <v>310</v>
      </c>
      <c r="G147" s="16" t="s">
        <v>311</v>
      </c>
      <c r="H147" s="16" t="s">
        <v>66</v>
      </c>
      <c r="I147" s="101" t="s">
        <v>94</v>
      </c>
      <c r="J147" s="102">
        <v>2018</v>
      </c>
      <c r="K147" s="101" t="s">
        <v>30</v>
      </c>
      <c r="L147" s="101" t="s">
        <v>31</v>
      </c>
      <c r="M147" s="101" t="s">
        <v>32</v>
      </c>
      <c r="N147" s="18">
        <f t="shared" si="8"/>
        <v>24.200000000000003</v>
      </c>
      <c r="O147" s="20">
        <f>1300*11/1000</f>
        <v>14.3</v>
      </c>
      <c r="P147" s="20">
        <f>900*11/1000</f>
        <v>9.9</v>
      </c>
      <c r="Q147" s="18">
        <f t="shared" si="9"/>
        <v>297</v>
      </c>
      <c r="R147" s="20">
        <f>27*11</f>
        <v>297</v>
      </c>
      <c r="S147" s="20"/>
      <c r="T147" s="19">
        <f t="shared" si="10"/>
        <v>297</v>
      </c>
      <c r="U147" s="20">
        <f>27*11</f>
        <v>297</v>
      </c>
      <c r="V147" s="20"/>
      <c r="W147" s="16" t="s">
        <v>78</v>
      </c>
      <c r="X147" s="152" t="s">
        <v>34</v>
      </c>
      <c r="Y147" s="152" t="s">
        <v>34</v>
      </c>
      <c r="Z147" s="28" t="s">
        <v>544</v>
      </c>
    </row>
    <row r="148" spans="1:26" ht="17.25" x14ac:dyDescent="0.3">
      <c r="A148" s="16" t="s">
        <v>293</v>
      </c>
      <c r="B148" s="112" t="str">
        <f t="shared" si="11"/>
        <v>IT510</v>
      </c>
      <c r="C148" s="16" t="s">
        <v>296</v>
      </c>
      <c r="D148" s="16">
        <v>5</v>
      </c>
      <c r="E148" s="16">
        <v>10</v>
      </c>
      <c r="F148" s="16" t="s">
        <v>294</v>
      </c>
      <c r="G148" s="16" t="s">
        <v>313</v>
      </c>
      <c r="H148" s="16" t="s">
        <v>85</v>
      </c>
      <c r="I148" s="16" t="s">
        <v>94</v>
      </c>
      <c r="J148" s="17">
        <v>2026</v>
      </c>
      <c r="K148" s="16" t="s">
        <v>169</v>
      </c>
      <c r="L148" s="16"/>
      <c r="M148" s="16" t="s">
        <v>32</v>
      </c>
      <c r="N148" s="18">
        <f t="shared" si="8"/>
        <v>1.5509368421052632</v>
      </c>
      <c r="O148" s="20">
        <v>1.5509368421052632</v>
      </c>
      <c r="P148" s="20">
        <v>0</v>
      </c>
      <c r="Q148" s="18">
        <f t="shared" si="9"/>
        <v>25.858521052631577</v>
      </c>
      <c r="R148" s="20">
        <v>25.858521052631577</v>
      </c>
      <c r="S148" s="20"/>
      <c r="T148" s="19">
        <f t="shared" si="10"/>
        <v>25.858521052631577</v>
      </c>
      <c r="U148" s="20">
        <v>25.858521052631577</v>
      </c>
      <c r="V148" s="20">
        <v>0</v>
      </c>
      <c r="W148" s="16" t="s">
        <v>78</v>
      </c>
      <c r="X148" s="152" t="s">
        <v>34</v>
      </c>
      <c r="Y148" s="152" t="s">
        <v>34</v>
      </c>
      <c r="Z148" s="28" t="s">
        <v>544</v>
      </c>
    </row>
    <row r="149" spans="1:26" ht="17.25" x14ac:dyDescent="0.3">
      <c r="A149" s="16" t="s">
        <v>293</v>
      </c>
      <c r="B149" s="112" t="str">
        <f t="shared" si="11"/>
        <v>IT511</v>
      </c>
      <c r="C149" s="16" t="s">
        <v>296</v>
      </c>
      <c r="D149" s="16">
        <v>5</v>
      </c>
      <c r="E149" s="16">
        <v>11</v>
      </c>
      <c r="F149" s="16" t="s">
        <v>294</v>
      </c>
      <c r="G149" s="16" t="s">
        <v>312</v>
      </c>
      <c r="H149" s="16" t="s">
        <v>66</v>
      </c>
      <c r="I149" s="16" t="s">
        <v>67</v>
      </c>
      <c r="J149" s="17">
        <v>2019</v>
      </c>
      <c r="K149" s="16" t="s">
        <v>169</v>
      </c>
      <c r="L149" s="16"/>
      <c r="M149" s="16" t="s">
        <v>32</v>
      </c>
      <c r="N149" s="18">
        <f t="shared" si="8"/>
        <v>2.5848947368421054</v>
      </c>
      <c r="O149" s="20">
        <v>2.5848947368421054</v>
      </c>
      <c r="P149" s="20">
        <v>0</v>
      </c>
      <c r="Q149" s="18">
        <f t="shared" si="9"/>
        <v>20.688731578947365</v>
      </c>
      <c r="R149" s="20">
        <v>20.688731578947365</v>
      </c>
      <c r="S149" s="20"/>
      <c r="T149" s="19">
        <f t="shared" si="10"/>
        <v>0</v>
      </c>
      <c r="U149" s="20">
        <v>0</v>
      </c>
      <c r="V149" s="20">
        <v>0</v>
      </c>
      <c r="W149" s="16" t="s">
        <v>78</v>
      </c>
      <c r="X149" s="152" t="s">
        <v>34</v>
      </c>
      <c r="Y149" s="152" t="s">
        <v>34</v>
      </c>
      <c r="Z149" s="28" t="s">
        <v>544</v>
      </c>
    </row>
    <row r="150" spans="1:26" ht="17.25" x14ac:dyDescent="0.3">
      <c r="A150" s="16" t="s">
        <v>293</v>
      </c>
      <c r="B150" s="112" t="str">
        <f t="shared" si="11"/>
        <v>IT512</v>
      </c>
      <c r="C150" s="16" t="s">
        <v>296</v>
      </c>
      <c r="D150" s="16">
        <v>5</v>
      </c>
      <c r="E150" s="16">
        <v>12</v>
      </c>
      <c r="F150" s="16" t="s">
        <v>294</v>
      </c>
      <c r="G150" s="16" t="s">
        <v>314</v>
      </c>
      <c r="H150" s="16" t="s">
        <v>85</v>
      </c>
      <c r="I150" s="16" t="s">
        <v>67</v>
      </c>
      <c r="J150" s="17">
        <v>2021</v>
      </c>
      <c r="K150" s="16" t="s">
        <v>169</v>
      </c>
      <c r="L150" s="16"/>
      <c r="M150" s="16" t="s">
        <v>32</v>
      </c>
      <c r="N150" s="18">
        <f t="shared" si="8"/>
        <v>2.0679157894736844</v>
      </c>
      <c r="O150" s="20">
        <v>2.0679157894736844</v>
      </c>
      <c r="P150" s="20">
        <v>0</v>
      </c>
      <c r="Q150" s="18">
        <f t="shared" si="9"/>
        <v>41.377463157894731</v>
      </c>
      <c r="R150" s="20">
        <v>41.377463157894731</v>
      </c>
      <c r="S150" s="20"/>
      <c r="T150" s="19">
        <f t="shared" si="10"/>
        <v>0</v>
      </c>
      <c r="U150" s="20">
        <v>0</v>
      </c>
      <c r="V150" s="20">
        <v>0</v>
      </c>
      <c r="W150" s="16" t="s">
        <v>78</v>
      </c>
      <c r="X150" s="152" t="s">
        <v>34</v>
      </c>
      <c r="Y150" s="152" t="s">
        <v>34</v>
      </c>
      <c r="Z150" s="28" t="s">
        <v>544</v>
      </c>
    </row>
    <row r="151" spans="1:26" ht="17.25" x14ac:dyDescent="0.3">
      <c r="A151" s="16" t="s">
        <v>293</v>
      </c>
      <c r="B151" s="112" t="str">
        <f t="shared" si="11"/>
        <v>IT513</v>
      </c>
      <c r="C151" s="16" t="s">
        <v>296</v>
      </c>
      <c r="D151" s="16">
        <v>5</v>
      </c>
      <c r="E151" s="16">
        <v>13</v>
      </c>
      <c r="F151" s="16" t="s">
        <v>294</v>
      </c>
      <c r="G151" s="16" t="s">
        <v>315</v>
      </c>
      <c r="H151" s="16" t="s">
        <v>85</v>
      </c>
      <c r="I151" s="16" t="s">
        <v>67</v>
      </c>
      <c r="J151" s="17">
        <v>2021</v>
      </c>
      <c r="K151" s="16" t="s">
        <v>169</v>
      </c>
      <c r="L151" s="16"/>
      <c r="M151" s="16" t="s">
        <v>32</v>
      </c>
      <c r="N151" s="18">
        <f t="shared" si="8"/>
        <v>2.0679157894736844</v>
      </c>
      <c r="O151" s="20">
        <v>2.0679157894736844</v>
      </c>
      <c r="P151" s="20">
        <v>0</v>
      </c>
      <c r="Q151" s="18">
        <f t="shared" si="9"/>
        <v>0</v>
      </c>
      <c r="R151" s="20">
        <v>0</v>
      </c>
      <c r="S151" s="20"/>
      <c r="T151" s="19">
        <f t="shared" si="10"/>
        <v>0</v>
      </c>
      <c r="U151" s="20">
        <v>0</v>
      </c>
      <c r="V151" s="20">
        <v>0</v>
      </c>
      <c r="W151" s="16" t="s">
        <v>78</v>
      </c>
      <c r="X151" s="152" t="s">
        <v>34</v>
      </c>
      <c r="Y151" s="152" t="s">
        <v>34</v>
      </c>
      <c r="Z151" s="28" t="s">
        <v>544</v>
      </c>
    </row>
    <row r="152" spans="1:26" ht="17.25" x14ac:dyDescent="0.3">
      <c r="A152" s="16" t="s">
        <v>293</v>
      </c>
      <c r="B152" s="112" t="str">
        <f t="shared" si="11"/>
        <v>IT514</v>
      </c>
      <c r="C152" s="16" t="s">
        <v>296</v>
      </c>
      <c r="D152" s="16">
        <v>5</v>
      </c>
      <c r="E152" s="16">
        <v>14</v>
      </c>
      <c r="F152" s="16" t="s">
        <v>294</v>
      </c>
      <c r="G152" s="16" t="s">
        <v>316</v>
      </c>
      <c r="H152" s="16" t="s">
        <v>66</v>
      </c>
      <c r="I152" s="16" t="s">
        <v>67</v>
      </c>
      <c r="J152" s="17">
        <v>2020</v>
      </c>
      <c r="K152" s="16" t="s">
        <v>169</v>
      </c>
      <c r="L152" s="16"/>
      <c r="M152" s="16" t="s">
        <v>32</v>
      </c>
      <c r="N152" s="18">
        <f t="shared" si="8"/>
        <v>4.3464526315789476</v>
      </c>
      <c r="O152" s="20">
        <v>4.3464526315789476</v>
      </c>
      <c r="P152" s="20">
        <v>0</v>
      </c>
      <c r="Q152" s="18">
        <f t="shared" si="9"/>
        <v>0</v>
      </c>
      <c r="R152" s="20">
        <v>0</v>
      </c>
      <c r="S152" s="20"/>
      <c r="T152" s="19">
        <f t="shared" si="10"/>
        <v>0</v>
      </c>
      <c r="U152" s="20">
        <v>0</v>
      </c>
      <c r="V152" s="20">
        <v>0</v>
      </c>
      <c r="W152" s="16" t="s">
        <v>78</v>
      </c>
      <c r="X152" s="152" t="s">
        <v>34</v>
      </c>
      <c r="Y152" s="152" t="s">
        <v>34</v>
      </c>
      <c r="Z152" s="28" t="s">
        <v>544</v>
      </c>
    </row>
    <row r="153" spans="1:26" ht="17.25" x14ac:dyDescent="0.3">
      <c r="A153" s="16" t="s">
        <v>293</v>
      </c>
      <c r="B153" s="112" t="str">
        <f t="shared" si="11"/>
        <v>IT515</v>
      </c>
      <c r="C153" s="16" t="s">
        <v>296</v>
      </c>
      <c r="D153" s="16">
        <v>5</v>
      </c>
      <c r="E153" s="16">
        <v>15</v>
      </c>
      <c r="F153" s="16" t="s">
        <v>294</v>
      </c>
      <c r="G153" s="16" t="s">
        <v>317</v>
      </c>
      <c r="H153" s="16" t="s">
        <v>66</v>
      </c>
      <c r="I153" s="16" t="s">
        <v>67</v>
      </c>
      <c r="J153" s="17">
        <v>2020</v>
      </c>
      <c r="K153" s="16" t="s">
        <v>169</v>
      </c>
      <c r="L153" s="16"/>
      <c r="M153" s="16" t="s">
        <v>32</v>
      </c>
      <c r="N153" s="18">
        <f t="shared" si="8"/>
        <v>0</v>
      </c>
      <c r="O153" s="20">
        <v>0</v>
      </c>
      <c r="P153" s="20">
        <v>0</v>
      </c>
      <c r="Q153" s="18">
        <f t="shared" si="9"/>
        <v>0</v>
      </c>
      <c r="R153" s="20">
        <v>0</v>
      </c>
      <c r="S153" s="20"/>
      <c r="T153" s="19">
        <f t="shared" si="10"/>
        <v>20.688731578947365</v>
      </c>
      <c r="U153" s="20">
        <v>20.688731578947365</v>
      </c>
      <c r="V153" s="20">
        <v>0</v>
      </c>
      <c r="W153" s="16" t="s">
        <v>78</v>
      </c>
      <c r="X153" s="152" t="s">
        <v>34</v>
      </c>
      <c r="Y153" s="152" t="s">
        <v>34</v>
      </c>
      <c r="Z153" s="28" t="s">
        <v>544</v>
      </c>
    </row>
    <row r="154" spans="1:26" ht="17.25" x14ac:dyDescent="0.3">
      <c r="A154" s="16" t="s">
        <v>293</v>
      </c>
      <c r="B154" s="112" t="str">
        <f t="shared" si="11"/>
        <v>IT516</v>
      </c>
      <c r="C154" s="16" t="s">
        <v>296</v>
      </c>
      <c r="D154" s="16">
        <v>5</v>
      </c>
      <c r="E154" s="16">
        <v>16</v>
      </c>
      <c r="F154" s="16" t="s">
        <v>294</v>
      </c>
      <c r="G154" s="16" t="s">
        <v>317</v>
      </c>
      <c r="H154" s="16" t="s">
        <v>85</v>
      </c>
      <c r="I154" s="16" t="s">
        <v>67</v>
      </c>
      <c r="J154" s="17">
        <v>2026</v>
      </c>
      <c r="K154" s="16" t="s">
        <v>169</v>
      </c>
      <c r="L154" s="16"/>
      <c r="M154" s="16" t="s">
        <v>32</v>
      </c>
      <c r="N154" s="18">
        <f t="shared" si="8"/>
        <v>3.7241631578947367</v>
      </c>
      <c r="O154" s="20">
        <v>3.7241631578947367</v>
      </c>
      <c r="P154" s="20">
        <v>0</v>
      </c>
      <c r="Q154" s="18">
        <f t="shared" si="9"/>
        <v>0</v>
      </c>
      <c r="R154" s="20">
        <v>0</v>
      </c>
      <c r="S154" s="20"/>
      <c r="T154" s="19">
        <f t="shared" si="10"/>
        <v>0</v>
      </c>
      <c r="U154" s="20">
        <v>0</v>
      </c>
      <c r="V154" s="20">
        <v>0</v>
      </c>
      <c r="W154" s="16" t="s">
        <v>78</v>
      </c>
      <c r="X154" s="152" t="s">
        <v>34</v>
      </c>
      <c r="Y154" s="152" t="s">
        <v>34</v>
      </c>
      <c r="Z154" s="28" t="s">
        <v>544</v>
      </c>
    </row>
    <row r="155" spans="1:26" ht="17.25" customHeight="1" x14ac:dyDescent="0.3">
      <c r="A155" s="16" t="s">
        <v>293</v>
      </c>
      <c r="B155" s="112" t="str">
        <f t="shared" si="11"/>
        <v>IT517</v>
      </c>
      <c r="C155" s="16" t="s">
        <v>296</v>
      </c>
      <c r="D155" s="16">
        <v>5</v>
      </c>
      <c r="E155" s="16">
        <v>17</v>
      </c>
      <c r="F155" s="16" t="s">
        <v>294</v>
      </c>
      <c r="G155" s="16" t="s">
        <v>318</v>
      </c>
      <c r="H155" s="16" t="s">
        <v>66</v>
      </c>
      <c r="I155" s="16" t="s">
        <v>94</v>
      </c>
      <c r="J155" s="17">
        <v>2023</v>
      </c>
      <c r="K155" s="16" t="s">
        <v>169</v>
      </c>
      <c r="L155" s="16"/>
      <c r="M155" s="16" t="s">
        <v>32</v>
      </c>
      <c r="N155" s="18">
        <f t="shared" si="8"/>
        <v>0</v>
      </c>
      <c r="O155" s="20">
        <v>0</v>
      </c>
      <c r="P155" s="20">
        <v>0</v>
      </c>
      <c r="Q155" s="18">
        <f t="shared" si="9"/>
        <v>62.0661947368421</v>
      </c>
      <c r="R155" s="20">
        <v>62.0661947368421</v>
      </c>
      <c r="S155" s="20"/>
      <c r="T155" s="19">
        <f t="shared" si="10"/>
        <v>0</v>
      </c>
      <c r="U155" s="20">
        <v>0</v>
      </c>
      <c r="V155" s="20">
        <v>0</v>
      </c>
      <c r="W155" s="16" t="s">
        <v>78</v>
      </c>
      <c r="X155" s="152" t="s">
        <v>34</v>
      </c>
      <c r="Y155" s="152" t="s">
        <v>34</v>
      </c>
      <c r="Z155" s="28" t="s">
        <v>544</v>
      </c>
    </row>
    <row r="156" spans="1:26" ht="17.25" x14ac:dyDescent="0.3">
      <c r="A156" s="16" t="s">
        <v>293</v>
      </c>
      <c r="B156" s="112" t="str">
        <f t="shared" si="11"/>
        <v>IT518</v>
      </c>
      <c r="C156" s="16" t="s">
        <v>296</v>
      </c>
      <c r="D156" s="16">
        <v>5</v>
      </c>
      <c r="E156" s="16">
        <v>18</v>
      </c>
      <c r="F156" s="16" t="s">
        <v>294</v>
      </c>
      <c r="G156" s="16" t="s">
        <v>319</v>
      </c>
      <c r="H156" s="16" t="s">
        <v>66</v>
      </c>
      <c r="I156" s="16" t="s">
        <v>67</v>
      </c>
      <c r="J156" s="17">
        <v>2020</v>
      </c>
      <c r="K156" s="16" t="s">
        <v>169</v>
      </c>
      <c r="L156" s="16"/>
      <c r="M156" s="16" t="s">
        <v>32</v>
      </c>
      <c r="N156" s="18">
        <f t="shared" si="8"/>
        <v>1.6562473684210526</v>
      </c>
      <c r="O156" s="20">
        <v>1.6562473684210526</v>
      </c>
      <c r="P156" s="20">
        <v>0</v>
      </c>
      <c r="Q156" s="18">
        <f t="shared" si="9"/>
        <v>0</v>
      </c>
      <c r="R156" s="20">
        <v>0</v>
      </c>
      <c r="S156" s="20"/>
      <c r="T156" s="19">
        <f t="shared" si="10"/>
        <v>0</v>
      </c>
      <c r="U156" s="20">
        <v>0</v>
      </c>
      <c r="V156" s="20">
        <v>0</v>
      </c>
      <c r="W156" s="16" t="s">
        <v>78</v>
      </c>
      <c r="X156" s="152" t="s">
        <v>34</v>
      </c>
      <c r="Y156" s="152" t="s">
        <v>34</v>
      </c>
      <c r="Z156" s="28" t="s">
        <v>544</v>
      </c>
    </row>
    <row r="157" spans="1:26" ht="17.25" customHeight="1" x14ac:dyDescent="0.3">
      <c r="A157" s="16" t="s">
        <v>293</v>
      </c>
      <c r="B157" s="112" t="str">
        <f t="shared" si="11"/>
        <v>IT519</v>
      </c>
      <c r="C157" s="16" t="s">
        <v>296</v>
      </c>
      <c r="D157" s="16">
        <v>5</v>
      </c>
      <c r="E157" s="16">
        <v>19</v>
      </c>
      <c r="F157" s="16" t="s">
        <v>294</v>
      </c>
      <c r="G157" s="16" t="s">
        <v>320</v>
      </c>
      <c r="H157" s="16" t="s">
        <v>85</v>
      </c>
      <c r="I157" s="16" t="s">
        <v>67</v>
      </c>
      <c r="J157" s="17">
        <v>2026</v>
      </c>
      <c r="K157" s="16" t="s">
        <v>169</v>
      </c>
      <c r="L157" s="16"/>
      <c r="M157" s="16" t="s">
        <v>32</v>
      </c>
      <c r="N157" s="18">
        <f t="shared" si="8"/>
        <v>3.6188526315789469</v>
      </c>
      <c r="O157" s="20">
        <v>3.6188526315789469</v>
      </c>
      <c r="P157" s="20">
        <v>0</v>
      </c>
      <c r="Q157" s="18">
        <f t="shared" si="9"/>
        <v>0</v>
      </c>
      <c r="R157" s="20">
        <v>0</v>
      </c>
      <c r="S157" s="20"/>
      <c r="T157" s="19">
        <f t="shared" si="10"/>
        <v>0</v>
      </c>
      <c r="U157" s="20">
        <v>0</v>
      </c>
      <c r="V157" s="20">
        <v>0</v>
      </c>
      <c r="W157" s="16" t="s">
        <v>78</v>
      </c>
      <c r="X157" s="152" t="s">
        <v>34</v>
      </c>
      <c r="Y157" s="152" t="s">
        <v>34</v>
      </c>
      <c r="Z157" s="28" t="s">
        <v>544</v>
      </c>
    </row>
    <row r="158" spans="1:26" ht="17.25" x14ac:dyDescent="0.3">
      <c r="A158" s="42" t="s">
        <v>293</v>
      </c>
      <c r="B158" s="113" t="str">
        <f t="shared" si="11"/>
        <v>IT51</v>
      </c>
      <c r="C158" s="42" t="s">
        <v>296</v>
      </c>
      <c r="D158" s="42">
        <v>5</v>
      </c>
      <c r="E158" s="42">
        <v>1</v>
      </c>
      <c r="F158" s="42" t="s">
        <v>294</v>
      </c>
      <c r="G158" s="42" t="s">
        <v>312</v>
      </c>
      <c r="H158" s="42" t="s">
        <v>28</v>
      </c>
      <c r="I158" s="42" t="s">
        <v>29</v>
      </c>
      <c r="J158" s="43">
        <v>2016</v>
      </c>
      <c r="K158" s="42" t="s">
        <v>169</v>
      </c>
      <c r="L158" s="42"/>
      <c r="M158" s="42" t="s">
        <v>32</v>
      </c>
      <c r="N158" s="42">
        <f t="shared" si="8"/>
        <v>0</v>
      </c>
      <c r="O158" s="44"/>
      <c r="P158" s="44"/>
      <c r="Q158" s="42">
        <f t="shared" si="9"/>
        <v>0</v>
      </c>
      <c r="R158" s="44"/>
      <c r="S158" s="44"/>
      <c r="T158" s="42">
        <f t="shared" si="10"/>
        <v>0</v>
      </c>
      <c r="U158" s="44"/>
      <c r="V158" s="44"/>
      <c r="W158" s="42" t="s">
        <v>78</v>
      </c>
      <c r="X158" s="152" t="s">
        <v>34</v>
      </c>
      <c r="Y158" s="152" t="s">
        <v>44</v>
      </c>
      <c r="Z158" s="28" t="s">
        <v>544</v>
      </c>
    </row>
    <row r="159" spans="1:26" ht="17.25" customHeight="1" x14ac:dyDescent="0.3">
      <c r="A159" s="42" t="s">
        <v>293</v>
      </c>
      <c r="B159" s="113" t="str">
        <f t="shared" si="11"/>
        <v>IT52</v>
      </c>
      <c r="C159" s="42" t="s">
        <v>296</v>
      </c>
      <c r="D159" s="42">
        <v>5</v>
      </c>
      <c r="E159" s="42">
        <v>2</v>
      </c>
      <c r="F159" s="42" t="s">
        <v>294</v>
      </c>
      <c r="G159" s="42" t="s">
        <v>321</v>
      </c>
      <c r="H159" s="42" t="s">
        <v>28</v>
      </c>
      <c r="I159" s="42" t="s">
        <v>29</v>
      </c>
      <c r="J159" s="43">
        <v>1966</v>
      </c>
      <c r="K159" s="42" t="s">
        <v>169</v>
      </c>
      <c r="L159" s="42"/>
      <c r="M159" s="42" t="s">
        <v>32</v>
      </c>
      <c r="N159" s="42">
        <f t="shared" si="8"/>
        <v>0</v>
      </c>
      <c r="O159" s="44"/>
      <c r="P159" s="44"/>
      <c r="Q159" s="42">
        <f t="shared" si="9"/>
        <v>0</v>
      </c>
      <c r="R159" s="44"/>
      <c r="S159" s="44"/>
      <c r="T159" s="42">
        <f t="shared" si="10"/>
        <v>0</v>
      </c>
      <c r="U159" s="44"/>
      <c r="V159" s="44"/>
      <c r="W159" s="42" t="s">
        <v>78</v>
      </c>
      <c r="X159" s="152" t="s">
        <v>34</v>
      </c>
      <c r="Y159" s="152" t="s">
        <v>44</v>
      </c>
      <c r="Z159" s="28" t="s">
        <v>544</v>
      </c>
    </row>
    <row r="160" spans="1:26" ht="17.25" x14ac:dyDescent="0.3">
      <c r="A160" s="42" t="s">
        <v>293</v>
      </c>
      <c r="B160" s="113" t="str">
        <f t="shared" si="11"/>
        <v>IT53</v>
      </c>
      <c r="C160" s="42" t="s">
        <v>296</v>
      </c>
      <c r="D160" s="42">
        <v>5</v>
      </c>
      <c r="E160" s="42">
        <v>3</v>
      </c>
      <c r="F160" s="42" t="s">
        <v>294</v>
      </c>
      <c r="G160" s="42" t="s">
        <v>322</v>
      </c>
      <c r="H160" s="42" t="s">
        <v>28</v>
      </c>
      <c r="I160" s="42" t="s">
        <v>29</v>
      </c>
      <c r="J160" s="43">
        <v>1964</v>
      </c>
      <c r="K160" s="42" t="s">
        <v>169</v>
      </c>
      <c r="L160" s="42"/>
      <c r="M160" s="42" t="s">
        <v>32</v>
      </c>
      <c r="N160" s="42">
        <f t="shared" si="8"/>
        <v>0</v>
      </c>
      <c r="O160" s="44"/>
      <c r="P160" s="44"/>
      <c r="Q160" s="42">
        <f t="shared" si="9"/>
        <v>0</v>
      </c>
      <c r="R160" s="44"/>
      <c r="S160" s="44"/>
      <c r="T160" s="42">
        <f t="shared" si="10"/>
        <v>0</v>
      </c>
      <c r="U160" s="44"/>
      <c r="V160" s="44"/>
      <c r="W160" s="42" t="s">
        <v>78</v>
      </c>
      <c r="X160" s="152" t="s">
        <v>34</v>
      </c>
      <c r="Y160" s="152" t="s">
        <v>44</v>
      </c>
      <c r="Z160" s="28" t="s">
        <v>544</v>
      </c>
    </row>
    <row r="161" spans="1:26" ht="17.25" x14ac:dyDescent="0.3">
      <c r="A161" s="42" t="s">
        <v>293</v>
      </c>
      <c r="B161" s="113" t="str">
        <f t="shared" si="11"/>
        <v>IT54</v>
      </c>
      <c r="C161" s="42" t="s">
        <v>296</v>
      </c>
      <c r="D161" s="42">
        <v>5</v>
      </c>
      <c r="E161" s="42">
        <v>4</v>
      </c>
      <c r="F161" s="42" t="s">
        <v>294</v>
      </c>
      <c r="G161" s="42" t="s">
        <v>314</v>
      </c>
      <c r="H161" s="42" t="s">
        <v>28</v>
      </c>
      <c r="I161" s="42" t="s">
        <v>29</v>
      </c>
      <c r="J161" s="43">
        <v>1982</v>
      </c>
      <c r="K161" s="42" t="s">
        <v>169</v>
      </c>
      <c r="L161" s="42"/>
      <c r="M161" s="42" t="s">
        <v>32</v>
      </c>
      <c r="N161" s="42">
        <f t="shared" si="8"/>
        <v>0</v>
      </c>
      <c r="O161" s="44"/>
      <c r="P161" s="44"/>
      <c r="Q161" s="42">
        <f t="shared" si="9"/>
        <v>0</v>
      </c>
      <c r="R161" s="44"/>
      <c r="S161" s="44"/>
      <c r="T161" s="42">
        <f t="shared" si="10"/>
        <v>0</v>
      </c>
      <c r="U161" s="44"/>
      <c r="V161" s="44"/>
      <c r="W161" s="42" t="s">
        <v>78</v>
      </c>
      <c r="X161" s="152" t="s">
        <v>34</v>
      </c>
      <c r="Y161" s="152" t="s">
        <v>44</v>
      </c>
      <c r="Z161" s="28" t="s">
        <v>544</v>
      </c>
    </row>
    <row r="162" spans="1:26" ht="17.25" x14ac:dyDescent="0.3">
      <c r="A162" s="42" t="s">
        <v>293</v>
      </c>
      <c r="B162" s="113" t="str">
        <f t="shared" si="11"/>
        <v>IT55</v>
      </c>
      <c r="C162" s="42" t="s">
        <v>296</v>
      </c>
      <c r="D162" s="42">
        <v>5</v>
      </c>
      <c r="E162" s="42">
        <v>5</v>
      </c>
      <c r="F162" s="42" t="s">
        <v>294</v>
      </c>
      <c r="G162" s="42" t="s">
        <v>316</v>
      </c>
      <c r="H162" s="42" t="s">
        <v>28</v>
      </c>
      <c r="I162" s="42" t="s">
        <v>29</v>
      </c>
      <c r="J162" s="43">
        <v>1975</v>
      </c>
      <c r="K162" s="42" t="s">
        <v>169</v>
      </c>
      <c r="L162" s="42"/>
      <c r="M162" s="42" t="s">
        <v>32</v>
      </c>
      <c r="N162" s="42">
        <f t="shared" si="8"/>
        <v>0</v>
      </c>
      <c r="O162" s="44"/>
      <c r="P162" s="44"/>
      <c r="Q162" s="42">
        <f t="shared" si="9"/>
        <v>0</v>
      </c>
      <c r="R162" s="44"/>
      <c r="S162" s="44"/>
      <c r="T162" s="42">
        <f t="shared" si="10"/>
        <v>0</v>
      </c>
      <c r="U162" s="44"/>
      <c r="V162" s="44"/>
      <c r="W162" s="42" t="s">
        <v>78</v>
      </c>
      <c r="X162" s="152" t="s">
        <v>34</v>
      </c>
      <c r="Y162" s="152" t="s">
        <v>44</v>
      </c>
      <c r="Z162" s="28" t="s">
        <v>544</v>
      </c>
    </row>
    <row r="163" spans="1:26" ht="17.25" x14ac:dyDescent="0.3">
      <c r="A163" s="42" t="s">
        <v>293</v>
      </c>
      <c r="B163" s="113" t="str">
        <f t="shared" si="11"/>
        <v>IT56</v>
      </c>
      <c r="C163" s="42" t="s">
        <v>296</v>
      </c>
      <c r="D163" s="42">
        <v>5</v>
      </c>
      <c r="E163" s="42">
        <v>6</v>
      </c>
      <c r="F163" s="42" t="s">
        <v>294</v>
      </c>
      <c r="G163" s="42" t="s">
        <v>317</v>
      </c>
      <c r="H163" s="42" t="s">
        <v>28</v>
      </c>
      <c r="I163" s="42" t="s">
        <v>29</v>
      </c>
      <c r="J163" s="43">
        <v>1967</v>
      </c>
      <c r="K163" s="42" t="s">
        <v>169</v>
      </c>
      <c r="L163" s="42"/>
      <c r="M163" s="42" t="s">
        <v>32</v>
      </c>
      <c r="N163" s="42">
        <f t="shared" si="8"/>
        <v>0</v>
      </c>
      <c r="O163" s="44"/>
      <c r="P163" s="44"/>
      <c r="Q163" s="42">
        <f t="shared" si="9"/>
        <v>0</v>
      </c>
      <c r="R163" s="44"/>
      <c r="S163" s="44"/>
      <c r="T163" s="42">
        <f t="shared" si="10"/>
        <v>0</v>
      </c>
      <c r="U163" s="44"/>
      <c r="V163" s="44"/>
      <c r="W163" s="42" t="s">
        <v>78</v>
      </c>
      <c r="X163" s="152" t="s">
        <v>34</v>
      </c>
      <c r="Y163" s="152" t="s">
        <v>44</v>
      </c>
      <c r="Z163" s="28" t="s">
        <v>544</v>
      </c>
    </row>
    <row r="164" spans="1:26" ht="17.25" x14ac:dyDescent="0.3">
      <c r="A164" s="42" t="s">
        <v>293</v>
      </c>
      <c r="B164" s="113" t="str">
        <f t="shared" ref="B164:B188" si="12">CONCATENATE(C164,D164,E164)</f>
        <v>IT57</v>
      </c>
      <c r="C164" s="42" t="s">
        <v>296</v>
      </c>
      <c r="D164" s="42">
        <v>5</v>
      </c>
      <c r="E164" s="42">
        <v>7</v>
      </c>
      <c r="F164" s="42" t="s">
        <v>294</v>
      </c>
      <c r="G164" s="42" t="s">
        <v>318</v>
      </c>
      <c r="H164" s="42" t="s">
        <v>28</v>
      </c>
      <c r="I164" s="42" t="s">
        <v>29</v>
      </c>
      <c r="J164" s="43">
        <v>1985</v>
      </c>
      <c r="K164" s="42" t="s">
        <v>169</v>
      </c>
      <c r="L164" s="42"/>
      <c r="M164" s="42" t="s">
        <v>32</v>
      </c>
      <c r="N164" s="42">
        <f t="shared" si="8"/>
        <v>0</v>
      </c>
      <c r="O164" s="44"/>
      <c r="P164" s="44"/>
      <c r="Q164" s="42">
        <f t="shared" si="9"/>
        <v>0</v>
      </c>
      <c r="R164" s="44"/>
      <c r="S164" s="44"/>
      <c r="T164" s="42">
        <f t="shared" si="10"/>
        <v>0</v>
      </c>
      <c r="U164" s="44"/>
      <c r="V164" s="44"/>
      <c r="W164" s="42" t="s">
        <v>78</v>
      </c>
      <c r="X164" s="152" t="s">
        <v>34</v>
      </c>
      <c r="Y164" s="152" t="s">
        <v>44</v>
      </c>
      <c r="Z164" s="28" t="s">
        <v>544</v>
      </c>
    </row>
    <row r="165" spans="1:26" ht="17.25" x14ac:dyDescent="0.3">
      <c r="A165" s="42" t="s">
        <v>293</v>
      </c>
      <c r="B165" s="113" t="str">
        <f t="shared" si="12"/>
        <v>IT58</v>
      </c>
      <c r="C165" s="42" t="s">
        <v>296</v>
      </c>
      <c r="D165" s="42">
        <v>5</v>
      </c>
      <c r="E165" s="42">
        <v>8</v>
      </c>
      <c r="F165" s="42" t="s">
        <v>294</v>
      </c>
      <c r="G165" s="42" t="s">
        <v>319</v>
      </c>
      <c r="H165" s="42" t="s">
        <v>28</v>
      </c>
      <c r="I165" s="42" t="s">
        <v>29</v>
      </c>
      <c r="J165" s="43">
        <v>1965</v>
      </c>
      <c r="K165" s="42" t="s">
        <v>169</v>
      </c>
      <c r="L165" s="42"/>
      <c r="M165" s="42" t="s">
        <v>32</v>
      </c>
      <c r="N165" s="42">
        <f t="shared" si="8"/>
        <v>0</v>
      </c>
      <c r="O165" s="44"/>
      <c r="P165" s="44"/>
      <c r="Q165" s="42">
        <f t="shared" si="9"/>
        <v>0</v>
      </c>
      <c r="R165" s="44"/>
      <c r="S165" s="44"/>
      <c r="T165" s="42">
        <f t="shared" si="10"/>
        <v>0</v>
      </c>
      <c r="U165" s="44"/>
      <c r="V165" s="44"/>
      <c r="W165" s="42" t="s">
        <v>78</v>
      </c>
      <c r="X165" s="152" t="s">
        <v>34</v>
      </c>
      <c r="Y165" s="152" t="s">
        <v>44</v>
      </c>
      <c r="Z165" s="28" t="s">
        <v>544</v>
      </c>
    </row>
    <row r="166" spans="1:26" ht="17.25" x14ac:dyDescent="0.3">
      <c r="A166" s="42" t="s">
        <v>293</v>
      </c>
      <c r="B166" s="113" t="str">
        <f t="shared" si="12"/>
        <v>IT59</v>
      </c>
      <c r="C166" s="42" t="s">
        <v>296</v>
      </c>
      <c r="D166" s="42">
        <v>5</v>
      </c>
      <c r="E166" s="42">
        <v>9</v>
      </c>
      <c r="F166" s="42" t="s">
        <v>294</v>
      </c>
      <c r="G166" s="42" t="s">
        <v>320</v>
      </c>
      <c r="H166" s="42" t="s">
        <v>28</v>
      </c>
      <c r="I166" s="42" t="s">
        <v>29</v>
      </c>
      <c r="J166" s="43">
        <v>1986</v>
      </c>
      <c r="K166" s="42" t="s">
        <v>169</v>
      </c>
      <c r="L166" s="42"/>
      <c r="M166" s="42" t="s">
        <v>32</v>
      </c>
      <c r="N166" s="42">
        <f t="shared" si="8"/>
        <v>0</v>
      </c>
      <c r="O166" s="44"/>
      <c r="P166" s="44"/>
      <c r="Q166" s="42">
        <f t="shared" si="9"/>
        <v>0</v>
      </c>
      <c r="R166" s="44"/>
      <c r="S166" s="44"/>
      <c r="T166" s="42">
        <f t="shared" si="10"/>
        <v>0</v>
      </c>
      <c r="U166" s="44"/>
      <c r="V166" s="44"/>
      <c r="W166" s="42" t="s">
        <v>78</v>
      </c>
      <c r="X166" s="152" t="s">
        <v>34</v>
      </c>
      <c r="Y166" s="152" t="s">
        <v>44</v>
      </c>
      <c r="Z166" s="28" t="s">
        <v>544</v>
      </c>
    </row>
    <row r="167" spans="1:26" s="26" customFormat="1" x14ac:dyDescent="0.25">
      <c r="A167" s="109" t="s">
        <v>293</v>
      </c>
      <c r="B167" s="21" t="str">
        <f t="shared" si="12"/>
        <v/>
      </c>
      <c r="C167" s="21"/>
      <c r="D167" s="21"/>
      <c r="E167" s="21"/>
      <c r="F167" s="110" t="s">
        <v>294</v>
      </c>
      <c r="G167" s="110" t="s">
        <v>295</v>
      </c>
      <c r="H167" s="21" t="s">
        <v>28</v>
      </c>
      <c r="I167" s="21" t="s">
        <v>29</v>
      </c>
      <c r="J167" s="22"/>
      <c r="K167" s="21" t="s">
        <v>30</v>
      </c>
      <c r="L167" s="21"/>
      <c r="M167" s="21" t="s">
        <v>32</v>
      </c>
      <c r="N167" s="21">
        <v>183.68</v>
      </c>
      <c r="O167" s="24"/>
      <c r="P167" s="24"/>
      <c r="Q167" s="21">
        <f t="shared" si="9"/>
        <v>2783.07</v>
      </c>
      <c r="R167" s="24">
        <v>2783.07</v>
      </c>
      <c r="S167" s="24"/>
      <c r="T167" s="21">
        <f t="shared" si="10"/>
        <v>1582.53</v>
      </c>
      <c r="U167" s="24">
        <v>1582.53</v>
      </c>
      <c r="V167" s="24"/>
      <c r="W167" s="21" t="s">
        <v>78</v>
      </c>
      <c r="X167" s="109" t="s">
        <v>44</v>
      </c>
      <c r="Y167" s="109" t="s">
        <v>34</v>
      </c>
      <c r="Z167" s="28" t="s">
        <v>544</v>
      </c>
    </row>
    <row r="168" spans="1:26" ht="17.25" x14ac:dyDescent="0.3">
      <c r="A168" s="16" t="s">
        <v>323</v>
      </c>
      <c r="B168" s="112" t="str">
        <f t="shared" si="12"/>
        <v>LV11</v>
      </c>
      <c r="C168" s="16" t="s">
        <v>324</v>
      </c>
      <c r="D168" s="16">
        <v>1</v>
      </c>
      <c r="E168" s="16">
        <v>1</v>
      </c>
      <c r="F168" s="16" t="s">
        <v>562</v>
      </c>
      <c r="G168" s="16" t="s">
        <v>325</v>
      </c>
      <c r="H168" s="16" t="s">
        <v>28</v>
      </c>
      <c r="I168" s="16" t="s">
        <v>29</v>
      </c>
      <c r="J168" s="17">
        <v>1968</v>
      </c>
      <c r="K168" s="16" t="s">
        <v>70</v>
      </c>
      <c r="L168" s="16"/>
      <c r="M168" s="16" t="s">
        <v>32</v>
      </c>
      <c r="N168" s="18">
        <f t="shared" si="8"/>
        <v>24.15</v>
      </c>
      <c r="O168" s="20">
        <v>24.15</v>
      </c>
      <c r="P168" s="20">
        <v>0</v>
      </c>
      <c r="Q168" s="18">
        <f t="shared" si="9"/>
        <v>315</v>
      </c>
      <c r="R168" s="20">
        <v>315</v>
      </c>
      <c r="S168" s="20"/>
      <c r="T168" s="19">
        <f t="shared" si="10"/>
        <v>178.5</v>
      </c>
      <c r="U168" s="20">
        <v>178.5</v>
      </c>
      <c r="V168" s="20">
        <v>0</v>
      </c>
      <c r="W168" s="16" t="s">
        <v>78</v>
      </c>
      <c r="X168" s="152" t="s">
        <v>34</v>
      </c>
      <c r="Y168" s="152" t="s">
        <v>34</v>
      </c>
      <c r="Z168" s="28" t="s">
        <v>544</v>
      </c>
    </row>
    <row r="169" spans="1:26" ht="17.25" x14ac:dyDescent="0.3">
      <c r="A169" s="16" t="s">
        <v>326</v>
      </c>
      <c r="B169" s="112" t="str">
        <f t="shared" si="12"/>
        <v>NL11</v>
      </c>
      <c r="C169" s="16" t="s">
        <v>327</v>
      </c>
      <c r="D169" s="16">
        <v>1</v>
      </c>
      <c r="E169" s="16">
        <v>1</v>
      </c>
      <c r="F169" s="16" t="s">
        <v>328</v>
      </c>
      <c r="G169" s="16" t="s">
        <v>329</v>
      </c>
      <c r="H169" s="16" t="s">
        <v>28</v>
      </c>
      <c r="I169" s="16" t="s">
        <v>29</v>
      </c>
      <c r="J169" s="17">
        <v>2011</v>
      </c>
      <c r="K169" s="16" t="s">
        <v>64</v>
      </c>
      <c r="L169" s="16"/>
      <c r="M169" s="16" t="s">
        <v>32</v>
      </c>
      <c r="N169" s="18">
        <f t="shared" si="8"/>
        <v>3.0078</v>
      </c>
      <c r="O169" s="20">
        <v>3.0078</v>
      </c>
      <c r="P169" s="20"/>
      <c r="Q169" s="18">
        <f t="shared" si="9"/>
        <v>422.04</v>
      </c>
      <c r="R169" s="20">
        <v>422.04</v>
      </c>
      <c r="S169" s="20"/>
      <c r="T169" s="19">
        <f t="shared" si="10"/>
        <v>257.91300000000001</v>
      </c>
      <c r="U169" s="20">
        <v>257.91300000000001</v>
      </c>
      <c r="V169" s="20"/>
      <c r="W169" s="27" t="s">
        <v>33</v>
      </c>
      <c r="X169" s="152" t="s">
        <v>34</v>
      </c>
      <c r="Y169" s="152" t="s">
        <v>34</v>
      </c>
      <c r="Z169" s="28" t="s">
        <v>544</v>
      </c>
    </row>
    <row r="170" spans="1:26" ht="17.25" x14ac:dyDescent="0.3">
      <c r="A170" s="16" t="s">
        <v>326</v>
      </c>
      <c r="B170" s="112" t="str">
        <f>CONCATENATE(C170,D170,E170)</f>
        <v>NL12</v>
      </c>
      <c r="C170" s="16" t="s">
        <v>327</v>
      </c>
      <c r="D170" s="16">
        <v>1</v>
      </c>
      <c r="E170" s="16">
        <v>2</v>
      </c>
      <c r="F170" s="16" t="s">
        <v>328</v>
      </c>
      <c r="G170" s="16" t="s">
        <v>329</v>
      </c>
      <c r="H170" s="16" t="s">
        <v>85</v>
      </c>
      <c r="I170" s="16" t="s">
        <v>85</v>
      </c>
      <c r="J170" s="17"/>
      <c r="K170" s="16" t="s">
        <v>64</v>
      </c>
      <c r="L170" s="16"/>
      <c r="M170" s="16" t="s">
        <v>32</v>
      </c>
      <c r="N170" s="18">
        <f>O170+P170</f>
        <v>0.85</v>
      </c>
      <c r="O170" s="20">
        <v>0.85</v>
      </c>
      <c r="P170" s="20"/>
      <c r="Q170" s="18">
        <f>R170+S170</f>
        <v>0</v>
      </c>
      <c r="R170" s="20"/>
      <c r="S170" s="20"/>
      <c r="T170" s="19">
        <f>U170+V170</f>
        <v>0</v>
      </c>
      <c r="U170" s="20"/>
      <c r="V170" s="20"/>
      <c r="W170" s="27" t="s">
        <v>33</v>
      </c>
      <c r="X170" s="152" t="s">
        <v>34</v>
      </c>
      <c r="Y170" s="152" t="s">
        <v>34</v>
      </c>
      <c r="Z170" s="28" t="s">
        <v>544</v>
      </c>
    </row>
    <row r="171" spans="1:26" ht="17.25" x14ac:dyDescent="0.3">
      <c r="A171" s="16" t="s">
        <v>326</v>
      </c>
      <c r="B171" s="112" t="str">
        <f t="shared" si="12"/>
        <v>NL21</v>
      </c>
      <c r="C171" s="16" t="s">
        <v>327</v>
      </c>
      <c r="D171" s="16">
        <v>2</v>
      </c>
      <c r="E171" s="16">
        <v>1</v>
      </c>
      <c r="F171" s="16" t="s">
        <v>330</v>
      </c>
      <c r="G171" s="16" t="s">
        <v>331</v>
      </c>
      <c r="H171" s="16" t="s">
        <v>28</v>
      </c>
      <c r="I171" s="16" t="s">
        <v>29</v>
      </c>
      <c r="J171" s="17">
        <v>1997</v>
      </c>
      <c r="K171" s="16" t="s">
        <v>30</v>
      </c>
      <c r="L171" s="16" t="s">
        <v>332</v>
      </c>
      <c r="M171" s="16" t="s">
        <v>32</v>
      </c>
      <c r="N171" s="18">
        <f t="shared" si="8"/>
        <v>27.666699999999999</v>
      </c>
      <c r="O171" s="20">
        <v>0</v>
      </c>
      <c r="P171" s="20">
        <v>27.666699999999999</v>
      </c>
      <c r="Q171" s="18">
        <f t="shared" si="9"/>
        <v>719.33299999999997</v>
      </c>
      <c r="R171" s="20">
        <v>0</v>
      </c>
      <c r="S171" s="20">
        <v>719.33299999999997</v>
      </c>
      <c r="T171" s="19">
        <f t="shared" si="10"/>
        <v>172.916</v>
      </c>
      <c r="U171" s="20">
        <v>0</v>
      </c>
      <c r="V171" s="20">
        <v>172.916</v>
      </c>
      <c r="W171" s="16" t="s">
        <v>249</v>
      </c>
      <c r="X171" s="152" t="s">
        <v>34</v>
      </c>
      <c r="Y171" s="152" t="s">
        <v>34</v>
      </c>
      <c r="Z171" s="28" t="s">
        <v>544</v>
      </c>
    </row>
    <row r="172" spans="1:26" ht="17.25" x14ac:dyDescent="0.3">
      <c r="A172" s="16" t="s">
        <v>326</v>
      </c>
      <c r="B172" s="112" t="str">
        <f t="shared" si="12"/>
        <v>NL22</v>
      </c>
      <c r="C172" s="16" t="s">
        <v>327</v>
      </c>
      <c r="D172" s="16">
        <v>2</v>
      </c>
      <c r="E172" s="16">
        <v>2</v>
      </c>
      <c r="F172" s="16" t="s">
        <v>330</v>
      </c>
      <c r="G172" s="16" t="s">
        <v>333</v>
      </c>
      <c r="H172" s="16" t="s">
        <v>28</v>
      </c>
      <c r="I172" s="16" t="s">
        <v>29</v>
      </c>
      <c r="J172" s="17">
        <v>1997</v>
      </c>
      <c r="K172" s="16" t="s">
        <v>30</v>
      </c>
      <c r="L172" s="16" t="s">
        <v>332</v>
      </c>
      <c r="M172" s="16" t="s">
        <v>32</v>
      </c>
      <c r="N172" s="18">
        <f t="shared" si="8"/>
        <v>48.707900000000002</v>
      </c>
      <c r="O172" s="20">
        <v>0</v>
      </c>
      <c r="P172" s="20">
        <v>48.707900000000002</v>
      </c>
      <c r="Q172" s="18">
        <f t="shared" si="9"/>
        <v>742.48</v>
      </c>
      <c r="R172" s="20">
        <v>0</v>
      </c>
      <c r="S172" s="20">
        <v>742.48</v>
      </c>
      <c r="T172" s="19">
        <f t="shared" si="10"/>
        <v>448.75</v>
      </c>
      <c r="U172" s="20">
        <v>0</v>
      </c>
      <c r="V172" s="20">
        <v>448.75</v>
      </c>
      <c r="W172" s="16" t="s">
        <v>249</v>
      </c>
      <c r="X172" s="152" t="s">
        <v>34</v>
      </c>
      <c r="Y172" s="152" t="s">
        <v>34</v>
      </c>
      <c r="Z172" s="28" t="s">
        <v>544</v>
      </c>
    </row>
    <row r="173" spans="1:26" ht="17.25" x14ac:dyDescent="0.3">
      <c r="A173" s="16" t="s">
        <v>326</v>
      </c>
      <c r="B173" s="112" t="str">
        <f t="shared" si="12"/>
        <v>NL31</v>
      </c>
      <c r="C173" s="16" t="s">
        <v>327</v>
      </c>
      <c r="D173" s="16">
        <v>3</v>
      </c>
      <c r="E173" s="16">
        <v>1</v>
      </c>
      <c r="F173" s="16" t="s">
        <v>334</v>
      </c>
      <c r="G173" s="16" t="s">
        <v>335</v>
      </c>
      <c r="H173" s="16" t="s">
        <v>28</v>
      </c>
      <c r="I173" s="16" t="s">
        <v>29</v>
      </c>
      <c r="J173" s="17">
        <v>2015</v>
      </c>
      <c r="K173" s="16" t="s">
        <v>30</v>
      </c>
      <c r="L173" s="16" t="s">
        <v>31</v>
      </c>
      <c r="M173" s="16" t="s">
        <v>32</v>
      </c>
      <c r="N173" s="18">
        <f t="shared" si="8"/>
        <v>45.651499999999999</v>
      </c>
      <c r="O173" s="20">
        <v>45.651499999999999</v>
      </c>
      <c r="P173" s="20"/>
      <c r="Q173" s="18">
        <f t="shared" si="9"/>
        <v>554.20000000000005</v>
      </c>
      <c r="R173" s="20">
        <v>554.20000000000005</v>
      </c>
      <c r="S173" s="20"/>
      <c r="T173" s="19">
        <f t="shared" si="10"/>
        <v>387.36</v>
      </c>
      <c r="U173" s="20">
        <v>387.36</v>
      </c>
      <c r="V173" s="20"/>
      <c r="W173" s="16" t="s">
        <v>33</v>
      </c>
      <c r="X173" s="152" t="s">
        <v>34</v>
      </c>
      <c r="Y173" s="152" t="s">
        <v>34</v>
      </c>
      <c r="Z173" s="28" t="s">
        <v>544</v>
      </c>
    </row>
    <row r="174" spans="1:26" ht="17.25" x14ac:dyDescent="0.3">
      <c r="A174" s="16" t="s">
        <v>326</v>
      </c>
      <c r="B174" s="112" t="str">
        <f t="shared" si="12"/>
        <v>NL32</v>
      </c>
      <c r="C174" s="16" t="s">
        <v>327</v>
      </c>
      <c r="D174" s="16">
        <v>3</v>
      </c>
      <c r="E174" s="16">
        <v>2</v>
      </c>
      <c r="F174" s="16" t="s">
        <v>336</v>
      </c>
      <c r="G174" s="16" t="s">
        <v>337</v>
      </c>
      <c r="H174" s="16" t="s">
        <v>28</v>
      </c>
      <c r="I174" s="16" t="s">
        <v>29</v>
      </c>
      <c r="J174" s="17">
        <v>1997</v>
      </c>
      <c r="K174" s="16" t="s">
        <v>30</v>
      </c>
      <c r="L174" s="16" t="s">
        <v>31</v>
      </c>
      <c r="M174" s="16" t="s">
        <v>32</v>
      </c>
      <c r="N174" s="18">
        <f t="shared" si="8"/>
        <v>4.9000000000000004</v>
      </c>
      <c r="O174" s="20">
        <v>0</v>
      </c>
      <c r="P174" s="20">
        <v>4.9000000000000004</v>
      </c>
      <c r="Q174" s="18">
        <f t="shared" si="9"/>
        <v>352.8</v>
      </c>
      <c r="R174" s="20">
        <v>0</v>
      </c>
      <c r="S174" s="20">
        <v>352.8</v>
      </c>
      <c r="T174" s="19">
        <f t="shared" si="10"/>
        <v>36</v>
      </c>
      <c r="U174" s="20">
        <v>0</v>
      </c>
      <c r="V174" s="20">
        <v>36</v>
      </c>
      <c r="W174" s="16" t="s">
        <v>249</v>
      </c>
      <c r="X174" s="152" t="s">
        <v>34</v>
      </c>
      <c r="Y174" s="152" t="s">
        <v>34</v>
      </c>
      <c r="Z174" s="28" t="s">
        <v>544</v>
      </c>
    </row>
    <row r="175" spans="1:26" ht="17.25" x14ac:dyDescent="0.3">
      <c r="A175" s="16" t="s">
        <v>338</v>
      </c>
      <c r="B175" s="112" t="str">
        <f t="shared" si="12"/>
        <v>PL11</v>
      </c>
      <c r="C175" s="16" t="s">
        <v>340</v>
      </c>
      <c r="D175" s="16">
        <v>1</v>
      </c>
      <c r="E175" s="16">
        <v>1</v>
      </c>
      <c r="F175" s="16" t="s">
        <v>339</v>
      </c>
      <c r="G175" s="16" t="s">
        <v>341</v>
      </c>
      <c r="H175" s="16" t="s">
        <v>28</v>
      </c>
      <c r="I175" s="16" t="s">
        <v>29</v>
      </c>
      <c r="J175" s="17">
        <v>1995</v>
      </c>
      <c r="K175" s="16" t="s">
        <v>169</v>
      </c>
      <c r="L175" s="16"/>
      <c r="M175" s="16" t="s">
        <v>32</v>
      </c>
      <c r="N175" s="18">
        <f t="shared" si="8"/>
        <v>13.2</v>
      </c>
      <c r="O175" s="20">
        <v>12.979999999999999</v>
      </c>
      <c r="P175" s="20">
        <v>0.22</v>
      </c>
      <c r="Q175" s="18">
        <f t="shared" si="9"/>
        <v>105.60000000000001</v>
      </c>
      <c r="R175" s="20">
        <v>99.602000000000004</v>
      </c>
      <c r="S175" s="20">
        <v>5.9980000000000002</v>
      </c>
      <c r="T175" s="19">
        <f t="shared" si="10"/>
        <v>67.201999999999998</v>
      </c>
      <c r="U175" s="20">
        <v>65</v>
      </c>
      <c r="V175" s="20">
        <v>2.202</v>
      </c>
      <c r="W175" s="16" t="s">
        <v>78</v>
      </c>
      <c r="X175" s="152" t="s">
        <v>34</v>
      </c>
      <c r="Y175" s="152" t="s">
        <v>34</v>
      </c>
      <c r="Z175" s="28" t="s">
        <v>544</v>
      </c>
    </row>
    <row r="176" spans="1:26" ht="17.25" customHeight="1" x14ac:dyDescent="0.3">
      <c r="A176" s="16" t="str">
        <f>A175</f>
        <v>Poland</v>
      </c>
      <c r="B176" s="112" t="str">
        <f t="shared" si="12"/>
        <v>PL12</v>
      </c>
      <c r="C176" s="16" t="s">
        <v>340</v>
      </c>
      <c r="D176" s="16">
        <v>1</v>
      </c>
      <c r="E176" s="16">
        <v>2</v>
      </c>
      <c r="F176" s="16" t="s">
        <v>339</v>
      </c>
      <c r="G176" s="16" t="str">
        <f>G175</f>
        <v>Wierzchowice</v>
      </c>
      <c r="H176" s="16" t="s">
        <v>85</v>
      </c>
      <c r="I176" s="16" t="s">
        <v>67</v>
      </c>
      <c r="J176" s="17">
        <v>2020</v>
      </c>
      <c r="K176" s="16" t="str">
        <f>K175</f>
        <v>Depleted Field</v>
      </c>
      <c r="L176" s="16"/>
      <c r="M176" s="16" t="s">
        <v>32</v>
      </c>
      <c r="N176" s="18">
        <f t="shared" si="8"/>
        <v>0</v>
      </c>
      <c r="O176" s="20">
        <v>0</v>
      </c>
      <c r="P176" s="20"/>
      <c r="Q176" s="18">
        <f t="shared" si="9"/>
        <v>52.8</v>
      </c>
      <c r="R176" s="20">
        <v>52.8</v>
      </c>
      <c r="S176" s="20"/>
      <c r="T176" s="19">
        <f t="shared" si="10"/>
        <v>39.6</v>
      </c>
      <c r="U176" s="20">
        <v>39.6</v>
      </c>
      <c r="V176" s="20"/>
      <c r="W176" s="16" t="s">
        <v>78</v>
      </c>
      <c r="X176" s="152" t="s">
        <v>34</v>
      </c>
      <c r="Y176" s="152" t="s">
        <v>34</v>
      </c>
      <c r="Z176" s="28" t="s">
        <v>544</v>
      </c>
    </row>
    <row r="177" spans="1:26" ht="17.25" x14ac:dyDescent="0.3">
      <c r="A177" s="42" t="s">
        <v>338</v>
      </c>
      <c r="B177" s="113" t="str">
        <f t="shared" si="12"/>
        <v>PL13</v>
      </c>
      <c r="C177" s="42" t="s">
        <v>340</v>
      </c>
      <c r="D177" s="42">
        <v>1</v>
      </c>
      <c r="E177" s="42">
        <v>3</v>
      </c>
      <c r="F177" s="42" t="s">
        <v>339</v>
      </c>
      <c r="G177" s="42" t="s">
        <v>342</v>
      </c>
      <c r="H177" s="42" t="s">
        <v>28</v>
      </c>
      <c r="I177" s="42" t="s">
        <v>29</v>
      </c>
      <c r="J177" s="43">
        <v>2014</v>
      </c>
      <c r="K177" s="42" t="s">
        <v>64</v>
      </c>
      <c r="L177" s="42"/>
      <c r="M177" s="42" t="s">
        <v>32</v>
      </c>
      <c r="N177" s="44">
        <f t="shared" si="8"/>
        <v>1.6223000000000001</v>
      </c>
      <c r="O177" s="44">
        <v>1.6223000000000001</v>
      </c>
      <c r="P177" s="44"/>
      <c r="Q177" s="44">
        <f t="shared" si="9"/>
        <v>107.03999999999999</v>
      </c>
      <c r="R177" s="44">
        <v>107.03999999999999</v>
      </c>
      <c r="S177" s="44"/>
      <c r="T177" s="44">
        <f t="shared" si="10"/>
        <v>26.759999999999998</v>
      </c>
      <c r="U177" s="44">
        <v>26.759999999999998</v>
      </c>
      <c r="V177" s="44"/>
      <c r="W177" s="42" t="s">
        <v>78</v>
      </c>
      <c r="X177" s="152" t="s">
        <v>34</v>
      </c>
      <c r="Y177" s="152" t="s">
        <v>34</v>
      </c>
      <c r="Z177" s="28" t="s">
        <v>544</v>
      </c>
    </row>
    <row r="178" spans="1:26" ht="17.25" x14ac:dyDescent="0.3">
      <c r="A178" s="42" t="s">
        <v>338</v>
      </c>
      <c r="B178" s="113" t="str">
        <f t="shared" si="12"/>
        <v>PL14</v>
      </c>
      <c r="C178" s="42" t="s">
        <v>340</v>
      </c>
      <c r="D178" s="42">
        <v>1</v>
      </c>
      <c r="E178" s="42">
        <v>4</v>
      </c>
      <c r="F178" s="42" t="s">
        <v>339</v>
      </c>
      <c r="G178" s="42" t="s">
        <v>343</v>
      </c>
      <c r="H178" s="42" t="s">
        <v>28</v>
      </c>
      <c r="I178" s="42" t="s">
        <v>29</v>
      </c>
      <c r="J178" s="43">
        <v>1997</v>
      </c>
      <c r="K178" s="42" t="s">
        <v>64</v>
      </c>
      <c r="L178" s="42"/>
      <c r="M178" s="42" t="s">
        <v>32</v>
      </c>
      <c r="N178" s="44">
        <f t="shared" si="8"/>
        <v>6.5709</v>
      </c>
      <c r="O178" s="44">
        <v>6.2366999999999999</v>
      </c>
      <c r="P178" s="44">
        <v>0.3342</v>
      </c>
      <c r="Q178" s="44">
        <f t="shared" si="9"/>
        <v>200.51996755377323</v>
      </c>
      <c r="R178" s="44">
        <v>185.62899999999999</v>
      </c>
      <c r="S178" s="44">
        <v>14.890967553773244</v>
      </c>
      <c r="T178" s="44">
        <f t="shared" si="10"/>
        <v>106.944</v>
      </c>
      <c r="U178" s="44">
        <v>100.0154</v>
      </c>
      <c r="V178" s="44">
        <v>6.9286000000000003</v>
      </c>
      <c r="W178" s="42" t="s">
        <v>78</v>
      </c>
      <c r="X178" s="152" t="s">
        <v>34</v>
      </c>
      <c r="Y178" s="152" t="s">
        <v>34</v>
      </c>
      <c r="Z178" s="28" t="s">
        <v>544</v>
      </c>
    </row>
    <row r="179" spans="1:26" s="26" customFormat="1" ht="15" customHeight="1" x14ac:dyDescent="0.25">
      <c r="A179" s="109" t="s">
        <v>338</v>
      </c>
      <c r="B179" s="21" t="str">
        <f t="shared" si="12"/>
        <v/>
      </c>
      <c r="C179" s="21"/>
      <c r="D179" s="21"/>
      <c r="E179" s="21"/>
      <c r="F179" s="110" t="s">
        <v>339</v>
      </c>
      <c r="G179" s="110" t="s">
        <v>557</v>
      </c>
      <c r="H179" s="21" t="s">
        <v>28</v>
      </c>
      <c r="I179" s="21" t="s">
        <v>29</v>
      </c>
      <c r="J179" s="22"/>
      <c r="K179" s="21" t="s">
        <v>64</v>
      </c>
      <c r="L179" s="21"/>
      <c r="M179" s="21" t="s">
        <v>32</v>
      </c>
      <c r="N179" s="24">
        <f t="shared" si="8"/>
        <v>8.1931999999999992</v>
      </c>
      <c r="O179" s="24">
        <v>7.859</v>
      </c>
      <c r="P179" s="24">
        <v>0.3342</v>
      </c>
      <c r="Q179" s="24">
        <f t="shared" si="9"/>
        <v>307.55996755377322</v>
      </c>
      <c r="R179" s="24">
        <v>292.66899999999998</v>
      </c>
      <c r="S179" s="24">
        <v>14.890967553773244</v>
      </c>
      <c r="T179" s="24">
        <f t="shared" si="10"/>
        <v>133.70399999999998</v>
      </c>
      <c r="U179" s="24">
        <v>126.77539999999999</v>
      </c>
      <c r="V179" s="24">
        <v>6.9286000000000003</v>
      </c>
      <c r="W179" s="21" t="s">
        <v>78</v>
      </c>
      <c r="X179" s="109" t="s">
        <v>44</v>
      </c>
      <c r="Y179" s="109" t="s">
        <v>44</v>
      </c>
      <c r="Z179" s="28" t="s">
        <v>544</v>
      </c>
    </row>
    <row r="180" spans="1:26" ht="17.25" x14ac:dyDescent="0.3">
      <c r="A180" s="16" t="str">
        <f>A176</f>
        <v>Poland</v>
      </c>
      <c r="B180" s="112" t="str">
        <f t="shared" si="12"/>
        <v>PL15</v>
      </c>
      <c r="C180" s="16" t="s">
        <v>340</v>
      </c>
      <c r="D180" s="16">
        <v>1</v>
      </c>
      <c r="E180" s="16">
        <v>5</v>
      </c>
      <c r="F180" s="16" t="s">
        <v>339</v>
      </c>
      <c r="G180" s="16" t="str">
        <f>G176</f>
        <v>Wierzchowice</v>
      </c>
      <c r="H180" s="16" t="s">
        <v>66</v>
      </c>
      <c r="I180" s="101" t="s">
        <v>67</v>
      </c>
      <c r="J180" s="102">
        <v>2022</v>
      </c>
      <c r="K180" s="101" t="str">
        <f>K176</f>
        <v>Depleted Field</v>
      </c>
      <c r="L180" s="101"/>
      <c r="M180" s="101" t="s">
        <v>32</v>
      </c>
      <c r="N180" s="18">
        <f t="shared" si="8"/>
        <v>1.6725000000000001</v>
      </c>
      <c r="O180" s="20">
        <v>1.6725000000000001</v>
      </c>
      <c r="P180" s="20"/>
      <c r="Q180" s="18">
        <f t="shared" si="9"/>
        <v>0</v>
      </c>
      <c r="R180" s="20">
        <v>0</v>
      </c>
      <c r="S180" s="20"/>
      <c r="T180" s="19">
        <f t="shared" si="10"/>
        <v>0</v>
      </c>
      <c r="U180" s="20">
        <v>0</v>
      </c>
      <c r="V180" s="20"/>
      <c r="W180" s="16" t="s">
        <v>78</v>
      </c>
      <c r="X180" s="152" t="s">
        <v>34</v>
      </c>
      <c r="Y180" s="152" t="s">
        <v>34</v>
      </c>
      <c r="Z180" s="28" t="s">
        <v>544</v>
      </c>
    </row>
    <row r="181" spans="1:26" ht="17.25" x14ac:dyDescent="0.3">
      <c r="A181" s="42" t="s">
        <v>338</v>
      </c>
      <c r="B181" s="113" t="str">
        <f t="shared" si="12"/>
        <v>PL16</v>
      </c>
      <c r="C181" s="42" t="s">
        <v>340</v>
      </c>
      <c r="D181" s="42">
        <v>1</v>
      </c>
      <c r="E181" s="42">
        <v>6</v>
      </c>
      <c r="F181" s="42" t="s">
        <v>339</v>
      </c>
      <c r="G181" s="42" t="s">
        <v>344</v>
      </c>
      <c r="H181" s="42" t="s">
        <v>28</v>
      </c>
      <c r="I181" s="42" t="s">
        <v>29</v>
      </c>
      <c r="J181" s="43">
        <v>1979</v>
      </c>
      <c r="K181" s="42" t="s">
        <v>169</v>
      </c>
      <c r="L181" s="42"/>
      <c r="M181" s="42" t="s">
        <v>32</v>
      </c>
      <c r="N181" s="44">
        <f t="shared" si="8"/>
        <v>1.0079999999999998</v>
      </c>
      <c r="O181" s="44">
        <v>1.0079999999999998</v>
      </c>
      <c r="P181" s="44"/>
      <c r="Q181" s="44">
        <f t="shared" si="9"/>
        <v>10.4</v>
      </c>
      <c r="R181" s="44">
        <v>10.4</v>
      </c>
      <c r="S181" s="44"/>
      <c r="T181" s="44">
        <f t="shared" si="10"/>
        <v>11.2</v>
      </c>
      <c r="U181" s="44">
        <v>11.2</v>
      </c>
      <c r="V181" s="44"/>
      <c r="W181" s="42" t="s">
        <v>78</v>
      </c>
      <c r="X181" s="152" t="s">
        <v>34</v>
      </c>
      <c r="Y181" s="152" t="s">
        <v>34</v>
      </c>
      <c r="Z181" s="28" t="s">
        <v>544</v>
      </c>
    </row>
    <row r="182" spans="1:26" ht="17.25" x14ac:dyDescent="0.3">
      <c r="A182" s="42" t="s">
        <v>338</v>
      </c>
      <c r="B182" s="113" t="str">
        <f t="shared" si="12"/>
        <v>PL17</v>
      </c>
      <c r="C182" s="42" t="s">
        <v>340</v>
      </c>
      <c r="D182" s="42">
        <v>1</v>
      </c>
      <c r="E182" s="42">
        <v>7</v>
      </c>
      <c r="F182" s="42" t="s">
        <v>339</v>
      </c>
      <c r="G182" s="42" t="s">
        <v>345</v>
      </c>
      <c r="H182" s="42" t="s">
        <v>28</v>
      </c>
      <c r="I182" s="42" t="s">
        <v>29</v>
      </c>
      <c r="J182" s="43">
        <v>1979</v>
      </c>
      <c r="K182" s="42" t="s">
        <v>169</v>
      </c>
      <c r="L182" s="42"/>
      <c r="M182" s="42" t="s">
        <v>32</v>
      </c>
      <c r="N182" s="44">
        <f t="shared" si="8"/>
        <v>1.125</v>
      </c>
      <c r="O182" s="44">
        <v>1.125</v>
      </c>
      <c r="P182" s="44"/>
      <c r="Q182" s="44">
        <f t="shared" si="9"/>
        <v>16.100000000000001</v>
      </c>
      <c r="R182" s="44">
        <v>16.100000000000001</v>
      </c>
      <c r="S182" s="44"/>
      <c r="T182" s="44">
        <f t="shared" si="10"/>
        <v>16.2</v>
      </c>
      <c r="U182" s="44">
        <v>16.2</v>
      </c>
      <c r="V182" s="44"/>
      <c r="W182" s="42" t="s">
        <v>78</v>
      </c>
      <c r="X182" s="152" t="s">
        <v>34</v>
      </c>
      <c r="Y182" s="152" t="s">
        <v>34</v>
      </c>
      <c r="Z182" s="28" t="s">
        <v>544</v>
      </c>
    </row>
    <row r="183" spans="1:26" ht="17.25" x14ac:dyDescent="0.3">
      <c r="A183" s="42" t="s">
        <v>338</v>
      </c>
      <c r="B183" s="113" t="str">
        <f t="shared" si="12"/>
        <v>PL18</v>
      </c>
      <c r="C183" s="42" t="s">
        <v>340</v>
      </c>
      <c r="D183" s="42">
        <v>1</v>
      </c>
      <c r="E183" s="42">
        <v>8</v>
      </c>
      <c r="F183" s="42" t="s">
        <v>339</v>
      </c>
      <c r="G183" s="42" t="s">
        <v>346</v>
      </c>
      <c r="H183" s="42" t="s">
        <v>28</v>
      </c>
      <c r="I183" s="42" t="s">
        <v>29</v>
      </c>
      <c r="J183" s="43">
        <v>1982</v>
      </c>
      <c r="K183" s="42" t="s">
        <v>169</v>
      </c>
      <c r="L183" s="42"/>
      <c r="M183" s="42" t="s">
        <v>32</v>
      </c>
      <c r="N183" s="44">
        <f t="shared" si="8"/>
        <v>4.05</v>
      </c>
      <c r="O183" s="44">
        <v>4.05</v>
      </c>
      <c r="P183" s="44"/>
      <c r="Q183" s="44">
        <f t="shared" si="9"/>
        <v>37.9</v>
      </c>
      <c r="R183" s="44">
        <v>37.9</v>
      </c>
      <c r="S183" s="44"/>
      <c r="T183" s="44">
        <f t="shared" si="10"/>
        <v>29.700000000000003</v>
      </c>
      <c r="U183" s="44">
        <v>29.700000000000003</v>
      </c>
      <c r="V183" s="44"/>
      <c r="W183" s="42" t="s">
        <v>78</v>
      </c>
      <c r="X183" s="152" t="s">
        <v>34</v>
      </c>
      <c r="Y183" s="152" t="s">
        <v>34</v>
      </c>
      <c r="Z183" s="28" t="s">
        <v>544</v>
      </c>
    </row>
    <row r="184" spans="1:26" ht="17.25" x14ac:dyDescent="0.3">
      <c r="A184" s="42" t="s">
        <v>338</v>
      </c>
      <c r="B184" s="113" t="str">
        <f t="shared" si="12"/>
        <v>PL19</v>
      </c>
      <c r="C184" s="42" t="s">
        <v>340</v>
      </c>
      <c r="D184" s="42">
        <v>1</v>
      </c>
      <c r="E184" s="42">
        <v>9</v>
      </c>
      <c r="F184" s="42" t="s">
        <v>339</v>
      </c>
      <c r="G184" s="42" t="s">
        <v>347</v>
      </c>
      <c r="H184" s="42" t="s">
        <v>28</v>
      </c>
      <c r="I184" s="42" t="s">
        <v>29</v>
      </c>
      <c r="J184" s="43">
        <v>1987</v>
      </c>
      <c r="K184" s="42" t="s">
        <v>169</v>
      </c>
      <c r="L184" s="42"/>
      <c r="M184" s="42" t="s">
        <v>32</v>
      </c>
      <c r="N184" s="44">
        <f t="shared" si="8"/>
        <v>5.6249998874999996</v>
      </c>
      <c r="O184" s="44">
        <v>5.6249998874999996</v>
      </c>
      <c r="P184" s="44"/>
      <c r="Q184" s="44">
        <f t="shared" si="9"/>
        <v>64.599999999999994</v>
      </c>
      <c r="R184" s="44">
        <v>64.599999999999994</v>
      </c>
      <c r="S184" s="44"/>
      <c r="T184" s="44">
        <f t="shared" si="10"/>
        <v>46.7</v>
      </c>
      <c r="U184" s="44">
        <v>46.7</v>
      </c>
      <c r="V184" s="44"/>
      <c r="W184" s="42" t="s">
        <v>78</v>
      </c>
      <c r="X184" s="152" t="s">
        <v>34</v>
      </c>
      <c r="Y184" s="152" t="s">
        <v>34</v>
      </c>
      <c r="Z184" s="28" t="s">
        <v>544</v>
      </c>
    </row>
    <row r="185" spans="1:26" s="26" customFormat="1" ht="15" customHeight="1" x14ac:dyDescent="0.25">
      <c r="A185" s="109" t="s">
        <v>338</v>
      </c>
      <c r="B185" s="21" t="str">
        <f t="shared" si="12"/>
        <v>PL1</v>
      </c>
      <c r="C185" s="21" t="s">
        <v>340</v>
      </c>
      <c r="D185" s="21">
        <v>1</v>
      </c>
      <c r="E185" s="21"/>
      <c r="F185" s="110" t="s">
        <v>339</v>
      </c>
      <c r="G185" s="110" t="s">
        <v>558</v>
      </c>
      <c r="H185" s="21" t="s">
        <v>28</v>
      </c>
      <c r="I185" s="21" t="s">
        <v>29</v>
      </c>
      <c r="J185" s="22"/>
      <c r="K185" s="21" t="s">
        <v>64</v>
      </c>
      <c r="L185" s="21"/>
      <c r="M185" s="21" t="s">
        <v>32</v>
      </c>
      <c r="N185" s="24">
        <f t="shared" si="8"/>
        <v>11.807999887499999</v>
      </c>
      <c r="O185" s="24">
        <v>11.807999887499999</v>
      </c>
      <c r="P185" s="24"/>
      <c r="Q185" s="24">
        <f t="shared" si="9"/>
        <v>129.80000000000001</v>
      </c>
      <c r="R185" s="24">
        <v>129.80000000000001</v>
      </c>
      <c r="S185" s="24"/>
      <c r="T185" s="24">
        <f t="shared" si="10"/>
        <v>103.8</v>
      </c>
      <c r="U185" s="24">
        <v>103.8</v>
      </c>
      <c r="V185" s="24"/>
      <c r="W185" s="21" t="s">
        <v>78</v>
      </c>
      <c r="X185" s="109" t="s">
        <v>44</v>
      </c>
      <c r="Y185" s="109" t="s">
        <v>44</v>
      </c>
      <c r="Z185" s="28" t="s">
        <v>544</v>
      </c>
    </row>
    <row r="186" spans="1:26" ht="17.25" x14ac:dyDescent="0.3">
      <c r="A186" s="16" t="s">
        <v>338</v>
      </c>
      <c r="B186" s="112" t="str">
        <f t="shared" si="12"/>
        <v>PL21</v>
      </c>
      <c r="C186" s="16" t="s">
        <v>340</v>
      </c>
      <c r="D186" s="16">
        <v>2</v>
      </c>
      <c r="E186" s="16">
        <v>1</v>
      </c>
      <c r="F186" s="16" t="s">
        <v>348</v>
      </c>
      <c r="G186" s="16" t="s">
        <v>349</v>
      </c>
      <c r="H186" s="16" t="s">
        <v>85</v>
      </c>
      <c r="I186" s="16" t="s">
        <v>94</v>
      </c>
      <c r="J186" s="17">
        <v>2026</v>
      </c>
      <c r="K186" s="16" t="s">
        <v>64</v>
      </c>
      <c r="L186" s="16"/>
      <c r="M186" s="16" t="s">
        <v>32</v>
      </c>
      <c r="N186" s="18">
        <f t="shared" si="8"/>
        <v>9</v>
      </c>
      <c r="O186" s="20">
        <v>9</v>
      </c>
      <c r="P186" s="20"/>
      <c r="Q186" s="18">
        <f t="shared" si="9"/>
        <v>200</v>
      </c>
      <c r="R186" s="20">
        <v>200</v>
      </c>
      <c r="S186" s="20"/>
      <c r="T186" s="18">
        <f t="shared" si="10"/>
        <v>100</v>
      </c>
      <c r="U186" s="20">
        <v>100</v>
      </c>
      <c r="V186" s="20"/>
      <c r="W186" s="16" t="s">
        <v>78</v>
      </c>
      <c r="X186" s="152" t="s">
        <v>34</v>
      </c>
      <c r="Y186" s="152" t="s">
        <v>34</v>
      </c>
      <c r="Z186" s="28" t="s">
        <v>544</v>
      </c>
    </row>
    <row r="187" spans="1:26" ht="17.25" customHeight="1" x14ac:dyDescent="0.3">
      <c r="A187" s="16" t="str">
        <f>A179</f>
        <v>Poland</v>
      </c>
      <c r="B187" s="112" t="str">
        <f t="shared" si="12"/>
        <v>PL31</v>
      </c>
      <c r="C187" s="16" t="s">
        <v>340</v>
      </c>
      <c r="D187" s="16">
        <v>3</v>
      </c>
      <c r="E187" s="16">
        <v>1</v>
      </c>
      <c r="F187" s="16" t="s">
        <v>350</v>
      </c>
      <c r="G187" s="16" t="s">
        <v>351</v>
      </c>
      <c r="H187" s="16" t="s">
        <v>28</v>
      </c>
      <c r="I187" s="16" t="s">
        <v>29</v>
      </c>
      <c r="J187" s="17">
        <v>2010</v>
      </c>
      <c r="K187" s="16" t="s">
        <v>169</v>
      </c>
      <c r="L187" s="16" t="s">
        <v>352</v>
      </c>
      <c r="M187" s="16" t="s">
        <v>32</v>
      </c>
      <c r="N187" s="18">
        <f t="shared" si="8"/>
        <v>2.2999999999999998</v>
      </c>
      <c r="O187" s="20">
        <v>0</v>
      </c>
      <c r="P187" s="20">
        <f>200*11.5/1000</f>
        <v>2.2999999999999998</v>
      </c>
      <c r="Q187" s="18">
        <f t="shared" si="9"/>
        <v>27.599999999999998</v>
      </c>
      <c r="R187" s="20">
        <v>0</v>
      </c>
      <c r="S187" s="20">
        <f>2.4*11.5</f>
        <v>27.599999999999998</v>
      </c>
      <c r="T187" s="19">
        <f t="shared" si="10"/>
        <v>19.32</v>
      </c>
      <c r="U187" s="20">
        <v>0</v>
      </c>
      <c r="V187" s="20">
        <f>1.68*11.5</f>
        <v>19.32</v>
      </c>
      <c r="W187" s="16" t="s">
        <v>249</v>
      </c>
      <c r="X187" s="152" t="s">
        <v>34</v>
      </c>
      <c r="Y187" s="152" t="s">
        <v>34</v>
      </c>
      <c r="Z187" s="28" t="s">
        <v>544</v>
      </c>
    </row>
    <row r="188" spans="1:26" ht="17.25" x14ac:dyDescent="0.3">
      <c r="A188" s="16" t="str">
        <f>A187</f>
        <v>Poland</v>
      </c>
      <c r="B188" s="112" t="str">
        <f t="shared" si="12"/>
        <v>PL32</v>
      </c>
      <c r="C188" s="16" t="s">
        <v>340</v>
      </c>
      <c r="D188" s="16">
        <v>3</v>
      </c>
      <c r="E188" s="16">
        <v>2</v>
      </c>
      <c r="F188" s="16" t="s">
        <v>350</v>
      </c>
      <c r="G188" s="16" t="s">
        <v>353</v>
      </c>
      <c r="H188" s="16" t="s">
        <v>28</v>
      </c>
      <c r="I188" s="16" t="s">
        <v>29</v>
      </c>
      <c r="J188" s="17">
        <v>2009</v>
      </c>
      <c r="K188" s="16" t="s">
        <v>169</v>
      </c>
      <c r="L188" s="16" t="s">
        <v>352</v>
      </c>
      <c r="M188" s="16" t="s">
        <v>32</v>
      </c>
      <c r="N188" s="18">
        <f t="shared" si="8"/>
        <v>0.34499999999999997</v>
      </c>
      <c r="O188" s="20">
        <v>0</v>
      </c>
      <c r="P188" s="20">
        <f>30*11.5/1000</f>
        <v>0.34499999999999997</v>
      </c>
      <c r="Q188" s="18">
        <f t="shared" si="9"/>
        <v>4.37</v>
      </c>
      <c r="R188" s="20">
        <v>0</v>
      </c>
      <c r="S188" s="20">
        <f>0.38*11.5</f>
        <v>4.37</v>
      </c>
      <c r="T188" s="19">
        <f t="shared" si="10"/>
        <v>2.76</v>
      </c>
      <c r="U188" s="20">
        <v>0</v>
      </c>
      <c r="V188" s="20">
        <f>0.24*11.5</f>
        <v>2.76</v>
      </c>
      <c r="W188" s="16" t="s">
        <v>249</v>
      </c>
      <c r="X188" s="152" t="s">
        <v>34</v>
      </c>
      <c r="Y188" s="152" t="s">
        <v>34</v>
      </c>
      <c r="Z188" s="28" t="s">
        <v>544</v>
      </c>
    </row>
    <row r="189" spans="1:26" ht="15" customHeight="1" x14ac:dyDescent="0.25">
      <c r="A189" s="16" t="s">
        <v>354</v>
      </c>
      <c r="B189" s="16" t="s">
        <v>355</v>
      </c>
      <c r="C189" s="16" t="s">
        <v>356</v>
      </c>
      <c r="D189" s="16">
        <v>1</v>
      </c>
      <c r="E189" s="16">
        <v>1</v>
      </c>
      <c r="F189" s="16" t="s">
        <v>357</v>
      </c>
      <c r="G189" s="16" t="s">
        <v>358</v>
      </c>
      <c r="H189" s="16" t="s">
        <v>28</v>
      </c>
      <c r="I189" s="16" t="s">
        <v>29</v>
      </c>
      <c r="J189" s="17">
        <v>2003</v>
      </c>
      <c r="K189" s="16" t="s">
        <v>359</v>
      </c>
      <c r="L189" s="16"/>
      <c r="M189" s="16" t="s">
        <v>32</v>
      </c>
      <c r="N189" s="18">
        <f t="shared" si="8"/>
        <v>3.57</v>
      </c>
      <c r="O189" s="20">
        <v>3.57</v>
      </c>
      <c r="P189" s="20"/>
      <c r="Q189" s="18">
        <f t="shared" si="9"/>
        <v>85.68</v>
      </c>
      <c r="R189" s="20">
        <v>85.68</v>
      </c>
      <c r="S189" s="20"/>
      <c r="T189" s="19">
        <f t="shared" si="10"/>
        <v>24</v>
      </c>
      <c r="U189" s="20">
        <v>24</v>
      </c>
      <c r="V189" s="20"/>
      <c r="W189" s="16" t="s">
        <v>78</v>
      </c>
      <c r="X189" s="152" t="s">
        <v>34</v>
      </c>
      <c r="Y189" s="152" t="s">
        <v>34</v>
      </c>
      <c r="Z189" s="28" t="s">
        <v>544</v>
      </c>
    </row>
    <row r="190" spans="1:26" ht="15" customHeight="1" x14ac:dyDescent="0.25">
      <c r="A190" s="16" t="s">
        <v>354</v>
      </c>
      <c r="B190" s="16" t="s">
        <v>360</v>
      </c>
      <c r="C190" s="16" t="s">
        <v>356</v>
      </c>
      <c r="D190" s="16">
        <v>1</v>
      </c>
      <c r="E190" s="16">
        <v>2</v>
      </c>
      <c r="F190" s="16" t="s">
        <v>357</v>
      </c>
      <c r="G190" s="16" t="s">
        <v>358</v>
      </c>
      <c r="H190" s="16" t="s">
        <v>66</v>
      </c>
      <c r="I190" s="101" t="s">
        <v>67</v>
      </c>
      <c r="J190" s="102">
        <v>2017</v>
      </c>
      <c r="K190" s="101" t="s">
        <v>359</v>
      </c>
      <c r="L190" s="101"/>
      <c r="M190" s="101" t="s">
        <v>32</v>
      </c>
      <c r="N190" s="18">
        <f t="shared" si="8"/>
        <v>0</v>
      </c>
      <c r="O190" s="20">
        <v>0</v>
      </c>
      <c r="P190" s="20"/>
      <c r="Q190" s="18">
        <f t="shared" si="9"/>
        <v>0</v>
      </c>
      <c r="R190" s="20">
        <v>0</v>
      </c>
      <c r="S190" s="20"/>
      <c r="T190" s="19">
        <f t="shared" si="10"/>
        <v>8.24</v>
      </c>
      <c r="U190" s="20">
        <v>8.24</v>
      </c>
      <c r="V190" s="20"/>
      <c r="W190" s="16" t="s">
        <v>78</v>
      </c>
      <c r="X190" s="152" t="s">
        <v>34</v>
      </c>
      <c r="Y190" s="152" t="s">
        <v>34</v>
      </c>
      <c r="Z190" s="28" t="s">
        <v>544</v>
      </c>
    </row>
    <row r="191" spans="1:26" ht="15" customHeight="1" x14ac:dyDescent="0.25">
      <c r="A191" s="16" t="s">
        <v>361</v>
      </c>
      <c r="B191" s="16" t="s">
        <v>362</v>
      </c>
      <c r="C191" s="16" t="s">
        <v>363</v>
      </c>
      <c r="D191" s="16">
        <v>1</v>
      </c>
      <c r="E191" s="16">
        <v>1</v>
      </c>
      <c r="F191" s="16" t="s">
        <v>364</v>
      </c>
      <c r="G191" s="16" t="s">
        <v>365</v>
      </c>
      <c r="H191" s="16" t="s">
        <v>28</v>
      </c>
      <c r="I191" s="16" t="s">
        <v>29</v>
      </c>
      <c r="J191" s="17">
        <v>1992</v>
      </c>
      <c r="K191" s="16" t="s">
        <v>30</v>
      </c>
      <c r="L191" s="16" t="s">
        <v>31</v>
      </c>
      <c r="M191" s="16" t="s">
        <v>32</v>
      </c>
      <c r="N191" s="18">
        <f t="shared" si="8"/>
        <v>0.54520000000000002</v>
      </c>
      <c r="O191" s="20">
        <v>0.54520000000000002</v>
      </c>
      <c r="P191" s="20"/>
      <c r="Q191" s="18">
        <f t="shared" si="9"/>
        <v>13.176</v>
      </c>
      <c r="R191" s="20">
        <v>13.176</v>
      </c>
      <c r="S191" s="20"/>
      <c r="T191" s="19">
        <f t="shared" si="10"/>
        <v>10.98</v>
      </c>
      <c r="U191" s="20">
        <v>10.98</v>
      </c>
      <c r="V191" s="20"/>
      <c r="W191" s="16" t="s">
        <v>78</v>
      </c>
      <c r="X191" s="152" t="s">
        <v>34</v>
      </c>
      <c r="Y191" s="152" t="s">
        <v>34</v>
      </c>
      <c r="Z191" s="28" t="s">
        <v>544</v>
      </c>
    </row>
    <row r="192" spans="1:26" ht="15" customHeight="1" x14ac:dyDescent="0.25">
      <c r="A192" s="16" t="s">
        <v>361</v>
      </c>
      <c r="B192" s="16" t="s">
        <v>366</v>
      </c>
      <c r="C192" s="16" t="s">
        <v>363</v>
      </c>
      <c r="D192" s="16">
        <v>1</v>
      </c>
      <c r="E192" s="16">
        <v>2</v>
      </c>
      <c r="F192" s="16" t="s">
        <v>364</v>
      </c>
      <c r="G192" s="16" t="s">
        <v>367</v>
      </c>
      <c r="H192" s="16" t="s">
        <v>28</v>
      </c>
      <c r="I192" s="16" t="s">
        <v>29</v>
      </c>
      <c r="J192" s="17">
        <v>1983</v>
      </c>
      <c r="K192" s="16" t="s">
        <v>30</v>
      </c>
      <c r="L192" s="16" t="s">
        <v>31</v>
      </c>
      <c r="M192" s="16" t="s">
        <v>32</v>
      </c>
      <c r="N192" s="18">
        <f t="shared" si="8"/>
        <v>14.3263</v>
      </c>
      <c r="O192" s="20">
        <v>14.3263</v>
      </c>
      <c r="P192" s="20"/>
      <c r="Q192" s="18">
        <f t="shared" si="9"/>
        <v>152.78200000000001</v>
      </c>
      <c r="R192" s="20">
        <v>152.78200000000001</v>
      </c>
      <c r="S192" s="20"/>
      <c r="T192" s="19">
        <f t="shared" si="10"/>
        <v>109.13</v>
      </c>
      <c r="U192" s="20">
        <v>109.13</v>
      </c>
      <c r="V192" s="20"/>
      <c r="W192" s="16" t="s">
        <v>78</v>
      </c>
      <c r="X192" s="152" t="s">
        <v>34</v>
      </c>
      <c r="Y192" s="152" t="s">
        <v>34</v>
      </c>
      <c r="Z192" s="28" t="s">
        <v>544</v>
      </c>
    </row>
    <row r="193" spans="1:26" ht="15" customHeight="1" x14ac:dyDescent="0.25">
      <c r="A193" s="16" t="s">
        <v>361</v>
      </c>
      <c r="B193" s="16" t="s">
        <v>368</v>
      </c>
      <c r="C193" s="16" t="s">
        <v>363</v>
      </c>
      <c r="D193" s="16">
        <v>1</v>
      </c>
      <c r="E193" s="16">
        <v>3</v>
      </c>
      <c r="F193" s="16" t="s">
        <v>364</v>
      </c>
      <c r="G193" s="16" t="s">
        <v>369</v>
      </c>
      <c r="H193" s="16" t="s">
        <v>28</v>
      </c>
      <c r="I193" s="16" t="s">
        <v>29</v>
      </c>
      <c r="J193" s="17"/>
      <c r="K193" s="16" t="s">
        <v>30</v>
      </c>
      <c r="L193" s="16" t="s">
        <v>31</v>
      </c>
      <c r="M193" s="16" t="s">
        <v>32</v>
      </c>
      <c r="N193" s="18">
        <f t="shared" ref="N193:N255" si="13">O193+P193</f>
        <v>0.315</v>
      </c>
      <c r="O193" s="114">
        <v>0.315</v>
      </c>
      <c r="P193" s="20"/>
      <c r="Q193" s="18">
        <f t="shared" ref="Q193:Q255" si="14">R193+S193</f>
        <v>1.05</v>
      </c>
      <c r="R193" s="114">
        <v>1.05</v>
      </c>
      <c r="S193" s="20"/>
      <c r="T193" s="19">
        <f t="shared" ref="T193:T255" si="15">U193+V193</f>
        <v>0</v>
      </c>
      <c r="U193" s="114">
        <v>0</v>
      </c>
      <c r="V193" s="20"/>
      <c r="W193" s="16" t="s">
        <v>78</v>
      </c>
      <c r="X193" s="152" t="s">
        <v>34</v>
      </c>
      <c r="Y193" s="152" t="s">
        <v>34</v>
      </c>
      <c r="Z193" s="28" t="s">
        <v>544</v>
      </c>
    </row>
    <row r="194" spans="1:26" x14ac:dyDescent="0.25">
      <c r="A194" s="16" t="s">
        <v>361</v>
      </c>
      <c r="B194" s="16" t="s">
        <v>370</v>
      </c>
      <c r="C194" s="16" t="s">
        <v>363</v>
      </c>
      <c r="D194" s="16">
        <v>1</v>
      </c>
      <c r="E194" s="16">
        <v>4</v>
      </c>
      <c r="F194" s="16" t="s">
        <v>364</v>
      </c>
      <c r="G194" s="16" t="s">
        <v>371</v>
      </c>
      <c r="H194" s="16" t="s">
        <v>28</v>
      </c>
      <c r="I194" s="16" t="s">
        <v>29</v>
      </c>
      <c r="J194" s="17">
        <v>2004</v>
      </c>
      <c r="K194" s="16" t="s">
        <v>30</v>
      </c>
      <c r="L194" s="16" t="s">
        <v>31</v>
      </c>
      <c r="M194" s="16" t="s">
        <v>32</v>
      </c>
      <c r="N194" s="18">
        <f t="shared" si="13"/>
        <v>1.6343000000000001</v>
      </c>
      <c r="O194" s="20">
        <v>1.6343000000000001</v>
      </c>
      <c r="P194" s="20"/>
      <c r="Q194" s="18">
        <f t="shared" si="14"/>
        <v>21.4</v>
      </c>
      <c r="R194" s="20">
        <v>21.4</v>
      </c>
      <c r="S194" s="20"/>
      <c r="T194" s="19">
        <f t="shared" si="15"/>
        <v>21.4</v>
      </c>
      <c r="U194" s="20">
        <v>21.4</v>
      </c>
      <c r="V194" s="20"/>
      <c r="W194" s="16" t="s">
        <v>78</v>
      </c>
      <c r="X194" s="152" t="s">
        <v>34</v>
      </c>
      <c r="Y194" s="152" t="s">
        <v>34</v>
      </c>
      <c r="Z194" s="28" t="s">
        <v>544</v>
      </c>
    </row>
    <row r="195" spans="1:26" x14ac:dyDescent="0.25">
      <c r="A195" s="16" t="s">
        <v>361</v>
      </c>
      <c r="B195" s="16" t="s">
        <v>372</v>
      </c>
      <c r="C195" s="16" t="s">
        <v>363</v>
      </c>
      <c r="D195" s="16">
        <v>1</v>
      </c>
      <c r="E195" s="16">
        <v>5</v>
      </c>
      <c r="F195" s="16" t="s">
        <v>364</v>
      </c>
      <c r="G195" s="16" t="s">
        <v>373</v>
      </c>
      <c r="H195" s="16" t="s">
        <v>85</v>
      </c>
      <c r="I195" s="16" t="s">
        <v>94</v>
      </c>
      <c r="J195" s="17">
        <v>2023</v>
      </c>
      <c r="K195" s="16" t="s">
        <v>169</v>
      </c>
      <c r="L195" s="16"/>
      <c r="M195" s="16" t="s">
        <v>32</v>
      </c>
      <c r="N195" s="18">
        <f t="shared" si="13"/>
        <v>2.16</v>
      </c>
      <c r="O195" s="20">
        <f>200*10.8/1000</f>
        <v>2.16</v>
      </c>
      <c r="P195" s="20"/>
      <c r="Q195" s="18">
        <f t="shared" si="14"/>
        <v>21.6</v>
      </c>
      <c r="R195" s="20">
        <f>2*10.8</f>
        <v>21.6</v>
      </c>
      <c r="S195" s="20"/>
      <c r="T195" s="19">
        <f t="shared" si="15"/>
        <v>15.12</v>
      </c>
      <c r="U195" s="20">
        <f>1.4*10.8</f>
        <v>15.12</v>
      </c>
      <c r="V195" s="20"/>
      <c r="W195" s="16" t="s">
        <v>78</v>
      </c>
      <c r="X195" s="152" t="s">
        <v>34</v>
      </c>
      <c r="Y195" s="152" t="s">
        <v>34</v>
      </c>
      <c r="Z195" s="28" t="s">
        <v>544</v>
      </c>
    </row>
    <row r="196" spans="1:26" x14ac:dyDescent="0.25">
      <c r="A196" s="16" t="s">
        <v>361</v>
      </c>
      <c r="B196" s="16" t="s">
        <v>374</v>
      </c>
      <c r="C196" s="16" t="s">
        <v>363</v>
      </c>
      <c r="D196" s="16">
        <v>1</v>
      </c>
      <c r="E196" s="16">
        <v>6</v>
      </c>
      <c r="F196" s="16" t="s">
        <v>364</v>
      </c>
      <c r="G196" s="16" t="s">
        <v>375</v>
      </c>
      <c r="H196" s="16" t="s">
        <v>28</v>
      </c>
      <c r="I196" s="16" t="s">
        <v>29</v>
      </c>
      <c r="J196" s="17">
        <v>1995</v>
      </c>
      <c r="K196" s="16" t="s">
        <v>30</v>
      </c>
      <c r="L196" s="16" t="s">
        <v>31</v>
      </c>
      <c r="M196" s="16" t="s">
        <v>32</v>
      </c>
      <c r="N196" s="18">
        <f t="shared" si="13"/>
        <v>9.5986999999999991</v>
      </c>
      <c r="O196" s="20">
        <v>9.5986999999999991</v>
      </c>
      <c r="P196" s="20"/>
      <c r="Q196" s="18">
        <f t="shared" si="14"/>
        <v>79.034999999999997</v>
      </c>
      <c r="R196" s="20">
        <v>79.034999999999997</v>
      </c>
      <c r="S196" s="20"/>
      <c r="T196" s="19">
        <f t="shared" si="15"/>
        <v>68.497</v>
      </c>
      <c r="U196" s="20">
        <v>68.497</v>
      </c>
      <c r="V196" s="20"/>
      <c r="W196" s="16" t="s">
        <v>78</v>
      </c>
      <c r="X196" s="152" t="s">
        <v>34</v>
      </c>
      <c r="Y196" s="152" t="s">
        <v>34</v>
      </c>
      <c r="Z196" s="28" t="s">
        <v>544</v>
      </c>
    </row>
    <row r="197" spans="1:26" x14ac:dyDescent="0.25">
      <c r="A197" s="16" t="s">
        <v>361</v>
      </c>
      <c r="B197" s="16" t="s">
        <v>376</v>
      </c>
      <c r="C197" s="16" t="s">
        <v>363</v>
      </c>
      <c r="D197" s="16">
        <v>1</v>
      </c>
      <c r="E197" s="16">
        <v>7</v>
      </c>
      <c r="F197" s="16" t="s">
        <v>364</v>
      </c>
      <c r="G197" s="16" t="s">
        <v>375</v>
      </c>
      <c r="H197" s="16" t="s">
        <v>85</v>
      </c>
      <c r="I197" s="16" t="s">
        <v>67</v>
      </c>
      <c r="J197" s="17">
        <v>2024</v>
      </c>
      <c r="K197" s="16" t="s">
        <v>30</v>
      </c>
      <c r="L197" s="16" t="s">
        <v>31</v>
      </c>
      <c r="M197" s="16" t="s">
        <v>32</v>
      </c>
      <c r="N197" s="18">
        <f t="shared" si="13"/>
        <v>7.1413000000000029</v>
      </c>
      <c r="O197" s="20">
        <f>1.55*10.8-O196</f>
        <v>7.1413000000000029</v>
      </c>
      <c r="P197" s="20"/>
      <c r="Q197" s="18">
        <f t="shared" si="14"/>
        <v>28.965000000000003</v>
      </c>
      <c r="R197" s="20">
        <f>10*10.8-R196</f>
        <v>28.965000000000003</v>
      </c>
      <c r="S197" s="20"/>
      <c r="T197" s="19">
        <f t="shared" si="15"/>
        <v>39.503</v>
      </c>
      <c r="U197" s="20">
        <f>10*10.8-U196</f>
        <v>39.503</v>
      </c>
      <c r="V197" s="20"/>
      <c r="W197" s="16" t="s">
        <v>78</v>
      </c>
      <c r="X197" s="152" t="s">
        <v>34</v>
      </c>
      <c r="Y197" s="152" t="s">
        <v>34</v>
      </c>
      <c r="Z197" s="28" t="s">
        <v>544</v>
      </c>
    </row>
    <row r="198" spans="1:26" x14ac:dyDescent="0.25">
      <c r="A198" s="16" t="s">
        <v>361</v>
      </c>
      <c r="B198" s="16" t="s">
        <v>377</v>
      </c>
      <c r="C198" s="16" t="s">
        <v>363</v>
      </c>
      <c r="D198" s="16">
        <v>1</v>
      </c>
      <c r="E198" s="16">
        <v>8</v>
      </c>
      <c r="F198" s="16" t="s">
        <v>364</v>
      </c>
      <c r="G198" s="16" t="s">
        <v>378</v>
      </c>
      <c r="H198" s="16" t="s">
        <v>28</v>
      </c>
      <c r="I198" s="16" t="s">
        <v>29</v>
      </c>
      <c r="J198" s="17">
        <v>1979</v>
      </c>
      <c r="K198" s="16" t="s">
        <v>30</v>
      </c>
      <c r="L198" s="16" t="s">
        <v>31</v>
      </c>
      <c r="M198" s="16" t="s">
        <v>32</v>
      </c>
      <c r="N198" s="18">
        <f t="shared" si="13"/>
        <v>4.0167999999999999</v>
      </c>
      <c r="O198" s="20">
        <v>4.0167999999999999</v>
      </c>
      <c r="P198" s="20"/>
      <c r="Q198" s="18">
        <f t="shared" si="14"/>
        <v>50.156999999999996</v>
      </c>
      <c r="R198" s="20">
        <v>50.156999999999996</v>
      </c>
      <c r="S198" s="20"/>
      <c r="T198" s="19">
        <f t="shared" si="15"/>
        <v>33.438000000000002</v>
      </c>
      <c r="U198" s="20">
        <v>33.438000000000002</v>
      </c>
      <c r="V198" s="20"/>
      <c r="W198" s="16" t="s">
        <v>78</v>
      </c>
      <c r="X198" s="152" t="s">
        <v>34</v>
      </c>
      <c r="Y198" s="152" t="s">
        <v>34</v>
      </c>
      <c r="Z198" s="28" t="s">
        <v>544</v>
      </c>
    </row>
    <row r="199" spans="1:26" x14ac:dyDescent="0.25">
      <c r="A199" s="16" t="s">
        <v>361</v>
      </c>
      <c r="B199" s="16" t="s">
        <v>379</v>
      </c>
      <c r="C199" s="16" t="s">
        <v>363</v>
      </c>
      <c r="D199" s="16">
        <v>2</v>
      </c>
      <c r="E199" s="16">
        <v>1</v>
      </c>
      <c r="F199" s="16" t="s">
        <v>380</v>
      </c>
      <c r="G199" s="16" t="s">
        <v>381</v>
      </c>
      <c r="H199" s="16" t="s">
        <v>28</v>
      </c>
      <c r="I199" s="16" t="s">
        <v>29</v>
      </c>
      <c r="J199" s="17">
        <v>2002</v>
      </c>
      <c r="K199" s="16" t="s">
        <v>30</v>
      </c>
      <c r="L199" s="16" t="s">
        <v>31</v>
      </c>
      <c r="M199" s="16" t="s">
        <v>32</v>
      </c>
      <c r="N199" s="18">
        <f t="shared" si="13"/>
        <v>3.15455</v>
      </c>
      <c r="O199" s="20">
        <v>3.15455</v>
      </c>
      <c r="P199" s="20"/>
      <c r="Q199" s="18">
        <f t="shared" si="14"/>
        <v>30</v>
      </c>
      <c r="R199" s="20">
        <v>30</v>
      </c>
      <c r="S199" s="20"/>
      <c r="T199" s="19">
        <f t="shared" si="15"/>
        <v>19</v>
      </c>
      <c r="U199" s="20">
        <v>19</v>
      </c>
      <c r="V199" s="20"/>
      <c r="W199" s="16" t="s">
        <v>78</v>
      </c>
      <c r="X199" s="152" t="s">
        <v>34</v>
      </c>
      <c r="Y199" s="152" t="s">
        <v>34</v>
      </c>
      <c r="Z199" s="28" t="s">
        <v>544</v>
      </c>
    </row>
    <row r="200" spans="1:26" x14ac:dyDescent="0.25">
      <c r="A200" s="16" t="str">
        <f>A199</f>
        <v>Romania</v>
      </c>
      <c r="B200" s="16" t="s">
        <v>382</v>
      </c>
      <c r="C200" s="16" t="s">
        <v>363</v>
      </c>
      <c r="D200" s="16">
        <v>2</v>
      </c>
      <c r="E200" s="16">
        <v>2</v>
      </c>
      <c r="F200" s="16" t="str">
        <f>F199</f>
        <v>Depomures</v>
      </c>
      <c r="G200" s="16" t="str">
        <f>G199</f>
        <v>Târgu Mureş</v>
      </c>
      <c r="H200" s="16" t="s">
        <v>85</v>
      </c>
      <c r="I200" s="16" t="s">
        <v>67</v>
      </c>
      <c r="J200" s="17">
        <v>2019</v>
      </c>
      <c r="K200" s="16" t="s">
        <v>30</v>
      </c>
      <c r="L200" s="16" t="s">
        <v>31</v>
      </c>
      <c r="M200" s="16" t="s">
        <v>32</v>
      </c>
      <c r="N200" s="18">
        <f t="shared" si="13"/>
        <v>1.08</v>
      </c>
      <c r="O200" s="20">
        <f>100*10.8/1000</f>
        <v>1.08</v>
      </c>
      <c r="P200" s="20"/>
      <c r="Q200" s="18">
        <f t="shared" si="14"/>
        <v>7.8000000000000043</v>
      </c>
      <c r="R200" s="20">
        <f>3.5*10.8-R199</f>
        <v>7.8000000000000043</v>
      </c>
      <c r="S200" s="20"/>
      <c r="T200" s="19">
        <f t="shared" si="15"/>
        <v>18.800000000000004</v>
      </c>
      <c r="U200" s="20">
        <f>3.5*10.8-U199</f>
        <v>18.800000000000004</v>
      </c>
      <c r="V200" s="20"/>
      <c r="W200" s="16" t="s">
        <v>78</v>
      </c>
      <c r="X200" s="152" t="s">
        <v>34</v>
      </c>
      <c r="Y200" s="152" t="s">
        <v>34</v>
      </c>
      <c r="Z200" s="28" t="s">
        <v>544</v>
      </c>
    </row>
    <row r="201" spans="1:26" x14ac:dyDescent="0.25">
      <c r="A201" s="16" t="str">
        <f>A200</f>
        <v>Romania</v>
      </c>
      <c r="B201" s="16" t="s">
        <v>383</v>
      </c>
      <c r="C201" s="16" t="s">
        <v>363</v>
      </c>
      <c r="D201" s="16">
        <v>2</v>
      </c>
      <c r="E201" s="16">
        <v>3</v>
      </c>
      <c r="F201" s="16" t="str">
        <f>F200</f>
        <v>Depomures</v>
      </c>
      <c r="G201" s="16" t="str">
        <f>G200</f>
        <v>Târgu Mureş</v>
      </c>
      <c r="H201" s="16" t="s">
        <v>85</v>
      </c>
      <c r="I201" s="16" t="s">
        <v>67</v>
      </c>
      <c r="J201" s="17">
        <v>2022</v>
      </c>
      <c r="K201" s="16" t="s">
        <v>30</v>
      </c>
      <c r="L201" s="16" t="s">
        <v>31</v>
      </c>
      <c r="M201" s="16" t="s">
        <v>32</v>
      </c>
      <c r="N201" s="18">
        <f t="shared" si="13"/>
        <v>2.16</v>
      </c>
      <c r="O201" s="20">
        <f>200*10.8/1000</f>
        <v>2.16</v>
      </c>
      <c r="P201" s="20"/>
      <c r="Q201" s="18">
        <f t="shared" si="14"/>
        <v>16.199999999999996</v>
      </c>
      <c r="R201" s="20">
        <f>5*10.8-R200-R199</f>
        <v>16.199999999999996</v>
      </c>
      <c r="S201" s="20"/>
      <c r="T201" s="19">
        <f t="shared" si="15"/>
        <v>16.199999999999996</v>
      </c>
      <c r="U201" s="20">
        <f>5*10.8-U200-U199</f>
        <v>16.199999999999996</v>
      </c>
      <c r="V201" s="20"/>
      <c r="W201" s="16" t="s">
        <v>78</v>
      </c>
      <c r="X201" s="152" t="s">
        <v>34</v>
      </c>
      <c r="Y201" s="152" t="s">
        <v>34</v>
      </c>
      <c r="Z201" s="28" t="s">
        <v>544</v>
      </c>
    </row>
    <row r="202" spans="1:26" x14ac:dyDescent="0.25">
      <c r="A202" s="16" t="s">
        <v>384</v>
      </c>
      <c r="B202" s="16" t="s">
        <v>385</v>
      </c>
      <c r="C202" s="16" t="s">
        <v>386</v>
      </c>
      <c r="D202" s="16">
        <v>1</v>
      </c>
      <c r="E202" s="16">
        <v>1</v>
      </c>
      <c r="F202" s="16" t="s">
        <v>387</v>
      </c>
      <c r="G202" s="16" t="s">
        <v>388</v>
      </c>
      <c r="H202" s="16" t="s">
        <v>28</v>
      </c>
      <c r="I202" s="16" t="s">
        <v>29</v>
      </c>
      <c r="J202" s="17">
        <v>1963</v>
      </c>
      <c r="K202" s="16" t="s">
        <v>70</v>
      </c>
      <c r="L202" s="16"/>
      <c r="M202" s="16" t="s">
        <v>32</v>
      </c>
      <c r="N202" s="18">
        <f t="shared" si="13"/>
        <v>2.206</v>
      </c>
      <c r="O202" s="20">
        <f>200*11.03/1000</f>
        <v>2.206</v>
      </c>
      <c r="P202" s="20"/>
      <c r="Q202" s="18">
        <f t="shared" si="14"/>
        <v>22.06</v>
      </c>
      <c r="R202" s="20">
        <f>2*11.03</f>
        <v>22.06</v>
      </c>
      <c r="S202" s="20"/>
      <c r="T202" s="19">
        <f t="shared" si="15"/>
        <v>19.853999999999999</v>
      </c>
      <c r="U202" s="20">
        <f>1.8*11.03</f>
        <v>19.853999999999999</v>
      </c>
      <c r="V202" s="20"/>
      <c r="W202" s="16"/>
      <c r="X202" s="152" t="s">
        <v>44</v>
      </c>
      <c r="Y202" s="152" t="s">
        <v>44</v>
      </c>
      <c r="Z202" s="28" t="s">
        <v>543</v>
      </c>
    </row>
    <row r="203" spans="1:26" s="47" customFormat="1" x14ac:dyDescent="0.25">
      <c r="A203" s="16" t="s">
        <v>448</v>
      </c>
      <c r="B203" s="16" t="s">
        <v>563</v>
      </c>
      <c r="C203" s="16" t="s">
        <v>450</v>
      </c>
      <c r="D203" s="16">
        <v>2</v>
      </c>
      <c r="E203" s="16">
        <v>1</v>
      </c>
      <c r="F203" s="16" t="s">
        <v>389</v>
      </c>
      <c r="G203" s="16" t="s">
        <v>390</v>
      </c>
      <c r="H203" s="16" t="s">
        <v>28</v>
      </c>
      <c r="I203" s="16" t="s">
        <v>29</v>
      </c>
      <c r="J203" s="17">
        <v>1987</v>
      </c>
      <c r="K203" s="16" t="s">
        <v>169</v>
      </c>
      <c r="L203" s="16" t="s">
        <v>31</v>
      </c>
      <c r="M203" s="16" t="s">
        <v>32</v>
      </c>
      <c r="N203" s="18">
        <f t="shared" si="13"/>
        <v>11</v>
      </c>
      <c r="O203" s="20">
        <f>1000*11/1000</f>
        <v>11</v>
      </c>
      <c r="P203" s="20"/>
      <c r="Q203" s="18">
        <f t="shared" si="14"/>
        <v>49.5</v>
      </c>
      <c r="R203" s="20">
        <f>4.5*11</f>
        <v>49.5</v>
      </c>
      <c r="S203" s="20"/>
      <c r="T203" s="19">
        <f t="shared" si="15"/>
        <v>44</v>
      </c>
      <c r="U203" s="20">
        <f>4*11</f>
        <v>44</v>
      </c>
      <c r="V203" s="20"/>
      <c r="W203" s="16" t="s">
        <v>78</v>
      </c>
      <c r="X203" s="16" t="s">
        <v>44</v>
      </c>
      <c r="Y203" s="16" t="s">
        <v>44</v>
      </c>
      <c r="Z203" s="28" t="s">
        <v>543</v>
      </c>
    </row>
    <row r="204" spans="1:26" x14ac:dyDescent="0.25">
      <c r="A204" s="16" t="s">
        <v>384</v>
      </c>
      <c r="B204" s="16" t="s">
        <v>391</v>
      </c>
      <c r="C204" s="16" t="s">
        <v>386</v>
      </c>
      <c r="D204" s="16">
        <v>1</v>
      </c>
      <c r="E204" s="16">
        <v>2</v>
      </c>
      <c r="F204" s="16" t="s">
        <v>387</v>
      </c>
      <c r="G204" s="16" t="s">
        <v>392</v>
      </c>
      <c r="H204" s="16" t="s">
        <v>28</v>
      </c>
      <c r="I204" s="16" t="s">
        <v>29</v>
      </c>
      <c r="J204" s="17">
        <v>2013</v>
      </c>
      <c r="K204" s="16" t="s">
        <v>64</v>
      </c>
      <c r="L204" s="16"/>
      <c r="M204" s="16" t="s">
        <v>32</v>
      </c>
      <c r="N204" s="18">
        <f t="shared" si="13"/>
        <v>2.8677999999999999</v>
      </c>
      <c r="O204" s="20">
        <f>260*11.03/1000</f>
        <v>2.8677999999999999</v>
      </c>
      <c r="P204" s="20"/>
      <c r="Q204" s="18">
        <f t="shared" si="14"/>
        <v>132.35999999999999</v>
      </c>
      <c r="R204" s="20">
        <f>12*11.03</f>
        <v>132.35999999999999</v>
      </c>
      <c r="S204" s="20"/>
      <c r="T204" s="19">
        <f t="shared" si="15"/>
        <v>119.124</v>
      </c>
      <c r="U204" s="20">
        <f>12*0.9*11.03</f>
        <v>119.124</v>
      </c>
      <c r="V204" s="20"/>
      <c r="W204" s="16"/>
      <c r="X204" s="152" t="s">
        <v>44</v>
      </c>
      <c r="Y204" s="152" t="s">
        <v>44</v>
      </c>
      <c r="Z204" s="28" t="s">
        <v>543</v>
      </c>
    </row>
    <row r="205" spans="1:26" x14ac:dyDescent="0.25">
      <c r="A205" s="16" t="s">
        <v>384</v>
      </c>
      <c r="B205" s="16" t="s">
        <v>393</v>
      </c>
      <c r="C205" s="16" t="s">
        <v>386</v>
      </c>
      <c r="D205" s="16">
        <v>1</v>
      </c>
      <c r="E205" s="16">
        <v>3</v>
      </c>
      <c r="F205" s="16" t="s">
        <v>387</v>
      </c>
      <c r="G205" s="16" t="s">
        <v>394</v>
      </c>
      <c r="H205" s="16" t="s">
        <v>28</v>
      </c>
      <c r="I205" s="16" t="s">
        <v>29</v>
      </c>
      <c r="J205" s="17">
        <v>1975</v>
      </c>
      <c r="K205" s="16" t="s">
        <v>70</v>
      </c>
      <c r="L205" s="16"/>
      <c r="M205" s="16" t="s">
        <v>32</v>
      </c>
      <c r="N205" s="18">
        <f t="shared" si="13"/>
        <v>18.750999999999998</v>
      </c>
      <c r="O205" s="20">
        <f>1.7*11.03</f>
        <v>18.750999999999998</v>
      </c>
      <c r="P205" s="20"/>
      <c r="Q205" s="18">
        <f t="shared" si="14"/>
        <v>253.69</v>
      </c>
      <c r="R205" s="20">
        <f>23*11.03</f>
        <v>253.69</v>
      </c>
      <c r="S205" s="20"/>
      <c r="T205" s="19">
        <f t="shared" si="15"/>
        <v>228.32099999999997</v>
      </c>
      <c r="U205" s="20">
        <f>23*0.9*11.03</f>
        <v>228.32099999999997</v>
      </c>
      <c r="V205" s="20"/>
      <c r="W205" s="16"/>
      <c r="X205" s="152" t="s">
        <v>44</v>
      </c>
      <c r="Y205" s="152" t="s">
        <v>44</v>
      </c>
      <c r="Z205" s="28" t="s">
        <v>543</v>
      </c>
    </row>
    <row r="206" spans="1:26" x14ac:dyDescent="0.25">
      <c r="A206" s="16" t="s">
        <v>395</v>
      </c>
      <c r="B206" s="16" t="s">
        <v>396</v>
      </c>
      <c r="C206" s="16" t="s">
        <v>397</v>
      </c>
      <c r="D206" s="16">
        <v>1</v>
      </c>
      <c r="E206" s="16">
        <v>1</v>
      </c>
      <c r="F206" s="16" t="s">
        <v>398</v>
      </c>
      <c r="G206" s="16" t="s">
        <v>399</v>
      </c>
      <c r="H206" s="16" t="s">
        <v>28</v>
      </c>
      <c r="I206" s="16" t="s">
        <v>29</v>
      </c>
      <c r="J206" s="17">
        <v>2011</v>
      </c>
      <c r="K206" s="16" t="s">
        <v>30</v>
      </c>
      <c r="L206" s="16" t="s">
        <v>31</v>
      </c>
      <c r="M206" s="16" t="s">
        <v>32</v>
      </c>
      <c r="N206" s="18">
        <f t="shared" si="13"/>
        <v>4.5315000000000003</v>
      </c>
      <c r="O206" s="20">
        <f>450*10.07/1000</f>
        <v>4.5315000000000003</v>
      </c>
      <c r="P206" s="20"/>
      <c r="Q206" s="18">
        <f t="shared" si="14"/>
        <v>50.35</v>
      </c>
      <c r="R206" s="20">
        <f>5*10.07</f>
        <v>50.35</v>
      </c>
      <c r="S206" s="20"/>
      <c r="T206" s="19">
        <f t="shared" si="15"/>
        <v>35.245000000000005</v>
      </c>
      <c r="U206" s="20">
        <f>3.5*10.07</f>
        <v>35.245000000000005</v>
      </c>
      <c r="V206" s="20"/>
      <c r="W206" s="16" t="s">
        <v>78</v>
      </c>
      <c r="X206" s="152" t="s">
        <v>44</v>
      </c>
      <c r="Y206" s="152" t="s">
        <v>44</v>
      </c>
      <c r="Z206" s="28" t="s">
        <v>543</v>
      </c>
    </row>
    <row r="207" spans="1:26" x14ac:dyDescent="0.25">
      <c r="A207" s="16" t="str">
        <f>A206</f>
        <v>Serbia</v>
      </c>
      <c r="B207" s="16" t="s">
        <v>400</v>
      </c>
      <c r="C207" s="16" t="s">
        <v>397</v>
      </c>
      <c r="D207" s="16">
        <v>1</v>
      </c>
      <c r="E207" s="16">
        <v>2</v>
      </c>
      <c r="F207" s="16" t="str">
        <f>F206</f>
        <v>Srbijagas</v>
      </c>
      <c r="G207" s="16" t="str">
        <f>G206</f>
        <v>Banatski Dvor</v>
      </c>
      <c r="H207" s="16" t="s">
        <v>85</v>
      </c>
      <c r="I207" s="16" t="s">
        <v>67</v>
      </c>
      <c r="J207" s="115">
        <v>2017</v>
      </c>
      <c r="K207" s="16" t="str">
        <f>K206</f>
        <v>Depleted field</v>
      </c>
      <c r="L207" s="16" t="str">
        <f>L206</f>
        <v>Gas</v>
      </c>
      <c r="M207" s="16" t="s">
        <v>32</v>
      </c>
      <c r="N207" s="18">
        <f t="shared" si="13"/>
        <v>3.0209999999999999</v>
      </c>
      <c r="O207" s="20">
        <f>750*10.07/1000-O206</f>
        <v>3.0209999999999999</v>
      </c>
      <c r="P207" s="20"/>
      <c r="Q207" s="18">
        <f t="shared" si="14"/>
        <v>0</v>
      </c>
      <c r="R207" s="20"/>
      <c r="S207" s="20"/>
      <c r="T207" s="19">
        <f t="shared" si="15"/>
        <v>0</v>
      </c>
      <c r="U207" s="20"/>
      <c r="V207" s="20"/>
      <c r="W207" s="16" t="s">
        <v>78</v>
      </c>
      <c r="X207" s="152" t="s">
        <v>44</v>
      </c>
      <c r="Y207" s="152" t="s">
        <v>44</v>
      </c>
      <c r="Z207" s="28" t="s">
        <v>543</v>
      </c>
    </row>
    <row r="208" spans="1:26" x14ac:dyDescent="0.25">
      <c r="A208" s="16" t="str">
        <f>A207</f>
        <v>Serbia</v>
      </c>
      <c r="B208" s="16" t="s">
        <v>401</v>
      </c>
      <c r="C208" s="16" t="s">
        <v>397</v>
      </c>
      <c r="D208" s="16">
        <v>1</v>
      </c>
      <c r="E208" s="16">
        <v>3</v>
      </c>
      <c r="F208" s="16" t="str">
        <f>F207</f>
        <v>Srbijagas</v>
      </c>
      <c r="G208" s="16" t="str">
        <f>G207</f>
        <v>Banatski Dvor</v>
      </c>
      <c r="H208" s="16" t="s">
        <v>85</v>
      </c>
      <c r="I208" s="16" t="s">
        <v>67</v>
      </c>
      <c r="J208" s="17"/>
      <c r="K208" s="16" t="str">
        <f>K207</f>
        <v>Depleted field</v>
      </c>
      <c r="L208" s="16" t="str">
        <f>L207</f>
        <v>Gas</v>
      </c>
      <c r="M208" s="16" t="s">
        <v>32</v>
      </c>
      <c r="N208" s="18">
        <f t="shared" si="13"/>
        <v>2.5175000000000001</v>
      </c>
      <c r="O208" s="20">
        <f>1000*10.07/1000-O207-O206</f>
        <v>2.5175000000000001</v>
      </c>
      <c r="P208" s="20"/>
      <c r="Q208" s="18">
        <f t="shared" si="14"/>
        <v>0</v>
      </c>
      <c r="R208" s="20"/>
      <c r="S208" s="20"/>
      <c r="T208" s="19">
        <f t="shared" si="15"/>
        <v>0</v>
      </c>
      <c r="U208" s="20"/>
      <c r="V208" s="20"/>
      <c r="W208" s="16" t="s">
        <v>78</v>
      </c>
      <c r="X208" s="152" t="s">
        <v>44</v>
      </c>
      <c r="Y208" s="152" t="s">
        <v>44</v>
      </c>
      <c r="Z208" s="28" t="s">
        <v>543</v>
      </c>
    </row>
    <row r="209" spans="1:26" x14ac:dyDescent="0.25">
      <c r="A209" s="16" t="s">
        <v>402</v>
      </c>
      <c r="B209" s="16" t="s">
        <v>403</v>
      </c>
      <c r="C209" s="16" t="s">
        <v>404</v>
      </c>
      <c r="D209" s="16">
        <v>1</v>
      </c>
      <c r="E209" s="16">
        <v>1</v>
      </c>
      <c r="F209" s="16" t="s">
        <v>405</v>
      </c>
      <c r="G209" s="16" t="s">
        <v>407</v>
      </c>
      <c r="H209" s="16" t="s">
        <v>28</v>
      </c>
      <c r="I209" s="16" t="s">
        <v>29</v>
      </c>
      <c r="J209" s="17">
        <v>1977</v>
      </c>
      <c r="K209" s="16" t="s">
        <v>30</v>
      </c>
      <c r="L209" s="16" t="s">
        <v>31</v>
      </c>
      <c r="M209" s="16" t="s">
        <v>32</v>
      </c>
      <c r="N209" s="18">
        <f t="shared" si="13"/>
        <v>22.28</v>
      </c>
      <c r="O209" s="20">
        <v>22.28</v>
      </c>
      <c r="P209" s="20"/>
      <c r="Q209" s="18">
        <f t="shared" si="14"/>
        <v>332.46</v>
      </c>
      <c r="R209" s="20">
        <v>332.46</v>
      </c>
      <c r="S209" s="20"/>
      <c r="T209" s="19">
        <f t="shared" si="15"/>
        <v>292.77</v>
      </c>
      <c r="U209" s="20">
        <v>292.77</v>
      </c>
      <c r="V209" s="20"/>
      <c r="W209" s="16" t="s">
        <v>33</v>
      </c>
      <c r="X209" s="152" t="s">
        <v>34</v>
      </c>
      <c r="Y209" s="152" t="s">
        <v>34</v>
      </c>
      <c r="Z209" s="28" t="s">
        <v>544</v>
      </c>
    </row>
    <row r="210" spans="1:26" x14ac:dyDescent="0.25">
      <c r="A210" s="16" t="s">
        <v>402</v>
      </c>
      <c r="B210" s="16" t="s">
        <v>406</v>
      </c>
      <c r="C210" s="16" t="s">
        <v>404</v>
      </c>
      <c r="D210" s="16">
        <v>1</v>
      </c>
      <c r="E210" s="16">
        <v>2</v>
      </c>
      <c r="F210" s="16" t="s">
        <v>405</v>
      </c>
      <c r="G210" s="16" t="s">
        <v>561</v>
      </c>
      <c r="H210" s="16" t="s">
        <v>28</v>
      </c>
      <c r="I210" s="16" t="s">
        <v>29</v>
      </c>
      <c r="J210" s="17">
        <v>2011</v>
      </c>
      <c r="K210" s="16" t="s">
        <v>30</v>
      </c>
      <c r="L210" s="16" t="s">
        <v>31</v>
      </c>
      <c r="M210" s="16" t="s">
        <v>32</v>
      </c>
      <c r="N210" s="18">
        <f t="shared" si="13"/>
        <v>6.36</v>
      </c>
      <c r="O210" s="20">
        <v>6.36</v>
      </c>
      <c r="P210" s="20"/>
      <c r="Q210" s="18">
        <f t="shared" si="14"/>
        <v>74.25</v>
      </c>
      <c r="R210" s="20">
        <v>74.25</v>
      </c>
      <c r="S210" s="20"/>
      <c r="T210" s="19">
        <f t="shared" si="15"/>
        <v>49.13</v>
      </c>
      <c r="U210" s="20">
        <v>49.13</v>
      </c>
      <c r="V210" s="20"/>
      <c r="W210" s="16" t="s">
        <v>33</v>
      </c>
      <c r="X210" s="152" t="s">
        <v>34</v>
      </c>
      <c r="Y210" s="152" t="s">
        <v>34</v>
      </c>
      <c r="Z210" s="28" t="s">
        <v>544</v>
      </c>
    </row>
    <row r="211" spans="1:26" x14ac:dyDescent="0.25">
      <c r="A211" s="16" t="s">
        <v>402</v>
      </c>
      <c r="B211" s="16" t="s">
        <v>408</v>
      </c>
      <c r="C211" s="16" t="s">
        <v>404</v>
      </c>
      <c r="D211" s="16">
        <v>1</v>
      </c>
      <c r="E211" s="16">
        <v>3</v>
      </c>
      <c r="F211" s="16" t="s">
        <v>405</v>
      </c>
      <c r="G211" s="16" t="s">
        <v>409</v>
      </c>
      <c r="H211" s="16" t="s">
        <v>85</v>
      </c>
      <c r="I211" s="16" t="s">
        <v>94</v>
      </c>
      <c r="J211" s="17"/>
      <c r="K211" s="16" t="s">
        <v>30</v>
      </c>
      <c r="L211" s="16" t="s">
        <v>31</v>
      </c>
      <c r="M211" s="16" t="s">
        <v>32</v>
      </c>
      <c r="N211" s="18">
        <f t="shared" si="13"/>
        <v>3.6057000000000001</v>
      </c>
      <c r="O211" s="20">
        <v>3.6057000000000001</v>
      </c>
      <c r="P211" s="20"/>
      <c r="Q211" s="18">
        <f t="shared" si="14"/>
        <v>39.799999999999997</v>
      </c>
      <c r="R211" s="20">
        <v>39.799999999999997</v>
      </c>
      <c r="S211" s="20"/>
      <c r="T211" s="19">
        <f t="shared" si="15"/>
        <v>39.799999999999997</v>
      </c>
      <c r="U211" s="20">
        <v>39.799999999999997</v>
      </c>
      <c r="V211" s="20"/>
      <c r="W211" s="16" t="s">
        <v>33</v>
      </c>
      <c r="X211" s="152" t="s">
        <v>34</v>
      </c>
      <c r="Y211" s="152" t="s">
        <v>34</v>
      </c>
      <c r="Z211" s="28" t="s">
        <v>544</v>
      </c>
    </row>
    <row r="212" spans="1:26" x14ac:dyDescent="0.25">
      <c r="A212" s="16" t="s">
        <v>402</v>
      </c>
      <c r="B212" s="16" t="s">
        <v>410</v>
      </c>
      <c r="C212" s="16" t="s">
        <v>404</v>
      </c>
      <c r="D212" s="16">
        <v>2</v>
      </c>
      <c r="E212" s="16">
        <v>1</v>
      </c>
      <c r="F212" s="16" t="s">
        <v>411</v>
      </c>
      <c r="G212" s="16" t="s">
        <v>412</v>
      </c>
      <c r="H212" s="16" t="s">
        <v>28</v>
      </c>
      <c r="I212" s="16" t="s">
        <v>29</v>
      </c>
      <c r="J212" s="17">
        <v>1997</v>
      </c>
      <c r="K212" s="16" t="s">
        <v>30</v>
      </c>
      <c r="L212" s="16" t="s">
        <v>31</v>
      </c>
      <c r="M212" s="16" t="s">
        <v>32</v>
      </c>
      <c r="N212" s="18">
        <f t="shared" si="13"/>
        <v>6.9476000000000004</v>
      </c>
      <c r="O212" s="20">
        <v>6.9476000000000004</v>
      </c>
      <c r="P212" s="20"/>
      <c r="Q212" s="18">
        <f t="shared" si="14"/>
        <v>72.658000000000001</v>
      </c>
      <c r="R212" s="20">
        <v>72.658000000000001</v>
      </c>
      <c r="S212" s="20"/>
      <c r="T212" s="19">
        <f t="shared" si="15"/>
        <v>72.658000000000001</v>
      </c>
      <c r="U212" s="20">
        <v>72.658000000000001</v>
      </c>
      <c r="V212" s="20"/>
      <c r="W212" s="16" t="s">
        <v>33</v>
      </c>
      <c r="X212" s="152" t="s">
        <v>34</v>
      </c>
      <c r="Y212" s="152" t="s">
        <v>34</v>
      </c>
      <c r="Z212" s="28" t="s">
        <v>544</v>
      </c>
    </row>
    <row r="213" spans="1:26" ht="17.25" customHeight="1" x14ac:dyDescent="0.3">
      <c r="A213" s="42" t="s">
        <v>413</v>
      </c>
      <c r="B213" s="113" t="s">
        <v>417</v>
      </c>
      <c r="C213" s="42" t="s">
        <v>415</v>
      </c>
      <c r="D213" s="42">
        <v>1</v>
      </c>
      <c r="E213" s="42">
        <v>1</v>
      </c>
      <c r="F213" s="42" t="s">
        <v>418</v>
      </c>
      <c r="G213" s="42" t="s">
        <v>419</v>
      </c>
      <c r="H213" s="42" t="s">
        <v>28</v>
      </c>
      <c r="I213" s="42" t="s">
        <v>29</v>
      </c>
      <c r="J213" s="43">
        <v>1993</v>
      </c>
      <c r="K213" s="42" t="s">
        <v>169</v>
      </c>
      <c r="L213" s="42"/>
      <c r="M213" s="42" t="s">
        <v>420</v>
      </c>
      <c r="N213" s="44">
        <f t="shared" si="13"/>
        <v>18.34</v>
      </c>
      <c r="O213" s="44">
        <v>18.34</v>
      </c>
      <c r="P213" s="44"/>
      <c r="Q213" s="44">
        <f t="shared" si="14"/>
        <v>66.3</v>
      </c>
      <c r="R213" s="44">
        <v>66.3</v>
      </c>
      <c r="S213" s="44"/>
      <c r="T213" s="44">
        <f t="shared" si="15"/>
        <v>52.3</v>
      </c>
      <c r="U213" s="44">
        <v>52.3</v>
      </c>
      <c r="V213" s="44"/>
      <c r="W213" s="42" t="s">
        <v>78</v>
      </c>
      <c r="X213" s="152" t="s">
        <v>34</v>
      </c>
      <c r="Y213" s="152" t="s">
        <v>34</v>
      </c>
      <c r="Z213" s="28" t="s">
        <v>544</v>
      </c>
    </row>
    <row r="214" spans="1:26" ht="17.25" customHeight="1" x14ac:dyDescent="0.3">
      <c r="A214" s="42" t="s">
        <v>413</v>
      </c>
      <c r="B214" s="113" t="s">
        <v>421</v>
      </c>
      <c r="C214" s="42" t="s">
        <v>415</v>
      </c>
      <c r="D214" s="42">
        <v>1</v>
      </c>
      <c r="E214" s="42">
        <v>2</v>
      </c>
      <c r="F214" s="42" t="s">
        <v>422</v>
      </c>
      <c r="G214" s="42" t="s">
        <v>423</v>
      </c>
      <c r="H214" s="42" t="s">
        <v>28</v>
      </c>
      <c r="I214" s="42" t="s">
        <v>29</v>
      </c>
      <c r="J214" s="43">
        <v>2012</v>
      </c>
      <c r="K214" s="42" t="s">
        <v>169</v>
      </c>
      <c r="L214" s="42"/>
      <c r="M214" s="42" t="s">
        <v>32</v>
      </c>
      <c r="N214" s="44">
        <f t="shared" si="13"/>
        <v>1.615</v>
      </c>
      <c r="O214" s="44">
        <v>1.615</v>
      </c>
      <c r="P214" s="44"/>
      <c r="Q214" s="44">
        <f t="shared" si="14"/>
        <v>4.2</v>
      </c>
      <c r="R214" s="44">
        <v>4.2</v>
      </c>
      <c r="S214" s="44"/>
      <c r="T214" s="44">
        <f t="shared" si="15"/>
        <v>4.2</v>
      </c>
      <c r="U214" s="44">
        <v>4.2</v>
      </c>
      <c r="V214" s="44"/>
      <c r="W214" s="42" t="s">
        <v>78</v>
      </c>
      <c r="X214" s="152" t="s">
        <v>34</v>
      </c>
      <c r="Y214" s="152" t="s">
        <v>34</v>
      </c>
      <c r="Z214" s="28" t="s">
        <v>544</v>
      </c>
    </row>
    <row r="215" spans="1:26" ht="17.25" customHeight="1" x14ac:dyDescent="0.3">
      <c r="A215" s="42" t="s">
        <v>413</v>
      </c>
      <c r="B215" s="113" t="s">
        <v>424</v>
      </c>
      <c r="C215" s="42" t="s">
        <v>415</v>
      </c>
      <c r="D215" s="42">
        <v>1</v>
      </c>
      <c r="E215" s="42">
        <v>3</v>
      </c>
      <c r="F215" s="42" t="s">
        <v>418</v>
      </c>
      <c r="G215" s="42" t="s">
        <v>425</v>
      </c>
      <c r="H215" s="42" t="s">
        <v>28</v>
      </c>
      <c r="I215" s="42" t="s">
        <v>29</v>
      </c>
      <c r="J215" s="43">
        <v>1991</v>
      </c>
      <c r="K215" s="42" t="s">
        <v>169</v>
      </c>
      <c r="L215" s="42"/>
      <c r="M215" s="42" t="s">
        <v>32</v>
      </c>
      <c r="N215" s="44">
        <f t="shared" si="13"/>
        <v>9.73</v>
      </c>
      <c r="O215" s="44">
        <v>9.73</v>
      </c>
      <c r="P215" s="44"/>
      <c r="Q215" s="44">
        <f t="shared" si="14"/>
        <v>79.099999999999994</v>
      </c>
      <c r="R215" s="44">
        <v>79.099999999999994</v>
      </c>
      <c r="S215" s="44"/>
      <c r="T215" s="44">
        <f t="shared" si="15"/>
        <v>44.2</v>
      </c>
      <c r="U215" s="44">
        <v>44.2</v>
      </c>
      <c r="V215" s="44"/>
      <c r="W215" s="42" t="s">
        <v>78</v>
      </c>
      <c r="X215" s="152" t="s">
        <v>34</v>
      </c>
      <c r="Y215" s="152" t="s">
        <v>34</v>
      </c>
      <c r="Z215" s="28" t="s">
        <v>544</v>
      </c>
    </row>
    <row r="216" spans="1:26" ht="17.25" customHeight="1" x14ac:dyDescent="0.3">
      <c r="A216" s="42" t="s">
        <v>413</v>
      </c>
      <c r="B216" s="113" t="s">
        <v>426</v>
      </c>
      <c r="C216" s="42" t="s">
        <v>415</v>
      </c>
      <c r="D216" s="42">
        <v>1</v>
      </c>
      <c r="E216" s="42">
        <v>4</v>
      </c>
      <c r="F216" s="42" t="s">
        <v>418</v>
      </c>
      <c r="G216" s="42" t="s">
        <v>427</v>
      </c>
      <c r="H216" s="42" t="s">
        <v>28</v>
      </c>
      <c r="I216" s="42" t="s">
        <v>29</v>
      </c>
      <c r="J216" s="43">
        <v>2012</v>
      </c>
      <c r="K216" s="42" t="s">
        <v>70</v>
      </c>
      <c r="L216" s="42"/>
      <c r="M216" s="42" t="s">
        <v>32</v>
      </c>
      <c r="N216" s="44">
        <f t="shared" si="13"/>
        <v>2.29</v>
      </c>
      <c r="O216" s="44">
        <v>2.29</v>
      </c>
      <c r="P216" s="44"/>
      <c r="Q216" s="44">
        <f t="shared" si="14"/>
        <v>64.900000000000006</v>
      </c>
      <c r="R216" s="44">
        <v>64.900000000000006</v>
      </c>
      <c r="S216" s="44"/>
      <c r="T216" s="44">
        <f t="shared" si="15"/>
        <v>25.6</v>
      </c>
      <c r="U216" s="44">
        <v>25.6</v>
      </c>
      <c r="V216" s="44"/>
      <c r="W216" s="42" t="s">
        <v>78</v>
      </c>
      <c r="X216" s="152" t="s">
        <v>34</v>
      </c>
      <c r="Y216" s="152" t="s">
        <v>34</v>
      </c>
      <c r="Z216" s="28" t="s">
        <v>544</v>
      </c>
    </row>
    <row r="217" spans="1:26" s="26" customFormat="1" x14ac:dyDescent="0.25">
      <c r="A217" s="109" t="s">
        <v>413</v>
      </c>
      <c r="B217" s="21" t="s">
        <v>414</v>
      </c>
      <c r="C217" s="21" t="s">
        <v>415</v>
      </c>
      <c r="D217" s="21">
        <v>1</v>
      </c>
      <c r="E217" s="21"/>
      <c r="F217" s="110" t="s">
        <v>418</v>
      </c>
      <c r="G217" s="110" t="s">
        <v>416</v>
      </c>
      <c r="H217" s="21" t="s">
        <v>28</v>
      </c>
      <c r="I217" s="21" t="s">
        <v>29</v>
      </c>
      <c r="J217" s="22"/>
      <c r="K217" s="21"/>
      <c r="L217" s="21"/>
      <c r="M217" s="21" t="s">
        <v>32</v>
      </c>
      <c r="N217" s="24">
        <f t="shared" si="13"/>
        <v>31.975899999999999</v>
      </c>
      <c r="O217" s="24">
        <v>31.975899999999999</v>
      </c>
      <c r="P217" s="24"/>
      <c r="Q217" s="24">
        <f t="shared" si="14"/>
        <v>214.50229999999999</v>
      </c>
      <c r="R217" s="24">
        <v>214.50229999999999</v>
      </c>
      <c r="S217" s="24"/>
      <c r="T217" s="24">
        <f t="shared" si="15"/>
        <v>126.29559999999999</v>
      </c>
      <c r="U217" s="24">
        <v>126.29559999999999</v>
      </c>
      <c r="V217" s="24"/>
      <c r="W217" s="21" t="s">
        <v>78</v>
      </c>
      <c r="X217" s="109" t="s">
        <v>44</v>
      </c>
      <c r="Y217" s="109" t="s">
        <v>44</v>
      </c>
      <c r="Z217" s="28" t="s">
        <v>544</v>
      </c>
    </row>
    <row r="218" spans="1:26" x14ac:dyDescent="0.25">
      <c r="A218" s="16" t="s">
        <v>428</v>
      </c>
      <c r="B218" s="16" t="s">
        <v>429</v>
      </c>
      <c r="C218" s="16" t="s">
        <v>430</v>
      </c>
      <c r="D218" s="16">
        <v>1</v>
      </c>
      <c r="E218" s="16">
        <v>1</v>
      </c>
      <c r="F218" s="16" t="s">
        <v>431</v>
      </c>
      <c r="G218" s="16" t="s">
        <v>432</v>
      </c>
      <c r="H218" s="16" t="s">
        <v>28</v>
      </c>
      <c r="I218" s="16" t="s">
        <v>29</v>
      </c>
      <c r="J218" s="17">
        <v>2004</v>
      </c>
      <c r="K218" s="16" t="s">
        <v>103</v>
      </c>
      <c r="L218" s="16" t="s">
        <v>103</v>
      </c>
      <c r="M218" s="16" t="s">
        <v>32</v>
      </c>
      <c r="N218" s="18">
        <f t="shared" si="13"/>
        <v>9.7000000000000003E-2</v>
      </c>
      <c r="O218" s="20">
        <v>9.7000000000000003E-2</v>
      </c>
      <c r="P218" s="20"/>
      <c r="Q218" s="18">
        <f t="shared" si="14"/>
        <v>11.52</v>
      </c>
      <c r="R218" s="20">
        <v>11.52</v>
      </c>
      <c r="S218" s="20"/>
      <c r="T218" s="19">
        <f t="shared" si="15"/>
        <v>4.32</v>
      </c>
      <c r="U218" s="20">
        <v>4.32</v>
      </c>
      <c r="V218" s="20"/>
      <c r="W218" s="16" t="s">
        <v>33</v>
      </c>
      <c r="X218" s="152" t="s">
        <v>34</v>
      </c>
      <c r="Y218" s="152" t="s">
        <v>34</v>
      </c>
      <c r="Z218" s="28" t="s">
        <v>544</v>
      </c>
    </row>
    <row r="219" spans="1:26" x14ac:dyDescent="0.25">
      <c r="A219" s="16" t="s">
        <v>433</v>
      </c>
      <c r="B219" s="16" t="s">
        <v>434</v>
      </c>
      <c r="C219" s="16" t="s">
        <v>435</v>
      </c>
      <c r="D219" s="16">
        <v>1</v>
      </c>
      <c r="E219" s="16">
        <v>1</v>
      </c>
      <c r="F219" s="16" t="s">
        <v>436</v>
      </c>
      <c r="G219" s="16" t="s">
        <v>437</v>
      </c>
      <c r="H219" s="16" t="s">
        <v>28</v>
      </c>
      <c r="I219" s="16" t="s">
        <v>29</v>
      </c>
      <c r="J219" s="17">
        <v>2017</v>
      </c>
      <c r="K219" s="16" t="s">
        <v>64</v>
      </c>
      <c r="L219" s="16"/>
      <c r="M219" s="16" t="s">
        <v>32</v>
      </c>
      <c r="N219" s="18">
        <f t="shared" si="13"/>
        <v>6.27</v>
      </c>
      <c r="O219" s="20">
        <v>6.27</v>
      </c>
      <c r="P219" s="20"/>
      <c r="Q219" s="18">
        <f t="shared" si="14"/>
        <v>182.4</v>
      </c>
      <c r="R219" s="20">
        <v>182.4</v>
      </c>
      <c r="S219" s="20"/>
      <c r="T219" s="19">
        <f t="shared" si="15"/>
        <v>136.80000000000001</v>
      </c>
      <c r="U219" s="20">
        <v>136.80000000000001</v>
      </c>
      <c r="V219" s="20"/>
      <c r="W219" s="16" t="s">
        <v>78</v>
      </c>
      <c r="X219" s="152" t="s">
        <v>44</v>
      </c>
      <c r="Y219" s="152" t="s">
        <v>44</v>
      </c>
      <c r="Z219" s="28" t="s">
        <v>543</v>
      </c>
    </row>
    <row r="220" spans="1:26" x14ac:dyDescent="0.25">
      <c r="A220" s="16" t="s">
        <v>433</v>
      </c>
      <c r="B220" s="16" t="s">
        <v>438</v>
      </c>
      <c r="C220" s="16" t="s">
        <v>435</v>
      </c>
      <c r="D220" s="16">
        <v>1</v>
      </c>
      <c r="E220" s="16">
        <v>2</v>
      </c>
      <c r="F220" s="16" t="s">
        <v>436</v>
      </c>
      <c r="G220" s="16" t="s">
        <v>437</v>
      </c>
      <c r="H220" s="16" t="s">
        <v>85</v>
      </c>
      <c r="I220" s="16" t="s">
        <v>67</v>
      </c>
      <c r="J220" s="17">
        <v>2020</v>
      </c>
      <c r="K220" s="16" t="s">
        <v>64</v>
      </c>
      <c r="L220" s="16"/>
      <c r="M220" s="16" t="s">
        <v>32</v>
      </c>
      <c r="N220" s="18">
        <f t="shared" si="13"/>
        <v>7.41</v>
      </c>
      <c r="O220" s="20">
        <v>7.41</v>
      </c>
      <c r="P220" s="20"/>
      <c r="Q220" s="18">
        <f t="shared" si="14"/>
        <v>182.4</v>
      </c>
      <c r="R220" s="20">
        <v>182.4</v>
      </c>
      <c r="S220" s="20"/>
      <c r="T220" s="19">
        <f t="shared" si="15"/>
        <v>136.80000000000001</v>
      </c>
      <c r="U220" s="20">
        <v>136.80000000000001</v>
      </c>
      <c r="V220" s="20"/>
      <c r="W220" s="16" t="s">
        <v>78</v>
      </c>
      <c r="X220" s="152" t="s">
        <v>44</v>
      </c>
      <c r="Y220" s="152" t="s">
        <v>44</v>
      </c>
      <c r="Z220" s="28" t="s">
        <v>543</v>
      </c>
    </row>
    <row r="221" spans="1:26" x14ac:dyDescent="0.25">
      <c r="A221" s="16" t="s">
        <v>433</v>
      </c>
      <c r="B221" s="16" t="s">
        <v>439</v>
      </c>
      <c r="C221" s="16" t="s">
        <v>435</v>
      </c>
      <c r="D221" s="16">
        <v>1</v>
      </c>
      <c r="E221" s="16">
        <v>3</v>
      </c>
      <c r="F221" s="16" t="s">
        <v>436</v>
      </c>
      <c r="G221" s="16" t="s">
        <v>437</v>
      </c>
      <c r="H221" s="16" t="s">
        <v>85</v>
      </c>
      <c r="I221" s="16" t="s">
        <v>67</v>
      </c>
      <c r="J221" s="17">
        <v>2023</v>
      </c>
      <c r="K221" s="16" t="s">
        <v>64</v>
      </c>
      <c r="L221" s="16"/>
      <c r="M221" s="16" t="s">
        <v>32</v>
      </c>
      <c r="N221" s="18">
        <f t="shared" si="13"/>
        <v>47.88000000000001</v>
      </c>
      <c r="O221" s="20">
        <v>47.88000000000001</v>
      </c>
      <c r="P221" s="20"/>
      <c r="Q221" s="18">
        <f t="shared" si="14"/>
        <v>547.20000000000005</v>
      </c>
      <c r="R221" s="20">
        <v>547.20000000000005</v>
      </c>
      <c r="S221" s="20"/>
      <c r="T221" s="19">
        <f t="shared" si="15"/>
        <v>410.40000000000003</v>
      </c>
      <c r="U221" s="20">
        <v>410.40000000000003</v>
      </c>
      <c r="V221" s="20"/>
      <c r="W221" s="16" t="s">
        <v>78</v>
      </c>
      <c r="X221" s="152" t="s">
        <v>44</v>
      </c>
      <c r="Y221" s="152" t="s">
        <v>44</v>
      </c>
      <c r="Z221" s="28" t="s">
        <v>543</v>
      </c>
    </row>
    <row r="222" spans="1:26" x14ac:dyDescent="0.25">
      <c r="A222" s="16" t="s">
        <v>433</v>
      </c>
      <c r="B222" s="16" t="s">
        <v>440</v>
      </c>
      <c r="C222" s="16" t="s">
        <v>435</v>
      </c>
      <c r="D222" s="16">
        <v>2</v>
      </c>
      <c r="E222" s="16">
        <v>1</v>
      </c>
      <c r="F222" s="16" t="s">
        <v>441</v>
      </c>
      <c r="G222" s="16" t="s">
        <v>442</v>
      </c>
      <c r="H222" s="16" t="s">
        <v>85</v>
      </c>
      <c r="I222" s="16" t="s">
        <v>94</v>
      </c>
      <c r="J222" s="17">
        <v>2021</v>
      </c>
      <c r="K222" s="16" t="s">
        <v>64</v>
      </c>
      <c r="L222" s="16"/>
      <c r="M222" s="16" t="s">
        <v>32</v>
      </c>
      <c r="N222" s="18">
        <f t="shared" si="13"/>
        <v>45.6</v>
      </c>
      <c r="O222" s="20">
        <v>45.6</v>
      </c>
      <c r="P222" s="20"/>
      <c r="Q222" s="18">
        <f t="shared" si="14"/>
        <v>0</v>
      </c>
      <c r="R222" s="20"/>
      <c r="S222" s="20"/>
      <c r="T222" s="19">
        <f t="shared" si="15"/>
        <v>0</v>
      </c>
      <c r="U222" s="20"/>
      <c r="V222" s="20"/>
      <c r="W222" s="16" t="s">
        <v>78</v>
      </c>
      <c r="X222" s="152" t="s">
        <v>44</v>
      </c>
      <c r="Y222" s="152" t="s">
        <v>44</v>
      </c>
      <c r="Z222" s="28" t="s">
        <v>543</v>
      </c>
    </row>
    <row r="223" spans="1:26" x14ac:dyDescent="0.25">
      <c r="A223" s="16" t="s">
        <v>433</v>
      </c>
      <c r="B223" s="16" t="s">
        <v>443</v>
      </c>
      <c r="C223" s="16" t="s">
        <v>435</v>
      </c>
      <c r="D223" s="16">
        <v>3</v>
      </c>
      <c r="E223" s="16">
        <v>1</v>
      </c>
      <c r="F223" s="16" t="s">
        <v>444</v>
      </c>
      <c r="G223" s="16" t="s">
        <v>445</v>
      </c>
      <c r="H223" s="16" t="s">
        <v>28</v>
      </c>
      <c r="I223" s="16" t="s">
        <v>29</v>
      </c>
      <c r="J223" s="17">
        <v>2007</v>
      </c>
      <c r="K223" s="16" t="s">
        <v>30</v>
      </c>
      <c r="L223" s="16" t="s">
        <v>31</v>
      </c>
      <c r="M223" s="16" t="s">
        <v>420</v>
      </c>
      <c r="N223" s="52">
        <f t="shared" si="13"/>
        <v>0</v>
      </c>
      <c r="O223" s="20"/>
      <c r="P223" s="20"/>
      <c r="Q223" s="18">
        <f t="shared" si="14"/>
        <v>0</v>
      </c>
      <c r="R223" s="20"/>
      <c r="S223" s="20"/>
      <c r="T223" s="19">
        <f t="shared" si="15"/>
        <v>0</v>
      </c>
      <c r="U223" s="20"/>
      <c r="V223" s="20"/>
      <c r="W223" s="16" t="s">
        <v>78</v>
      </c>
      <c r="X223" s="152" t="s">
        <v>44</v>
      </c>
      <c r="Y223" s="152" t="s">
        <v>44</v>
      </c>
      <c r="Z223" s="28" t="s">
        <v>543</v>
      </c>
    </row>
    <row r="224" spans="1:26" x14ac:dyDescent="0.25">
      <c r="A224" s="16" t="s">
        <v>433</v>
      </c>
      <c r="B224" s="16" t="s">
        <v>446</v>
      </c>
      <c r="C224" s="16" t="s">
        <v>435</v>
      </c>
      <c r="D224" s="16">
        <v>3</v>
      </c>
      <c r="E224" s="16">
        <v>2</v>
      </c>
      <c r="F224" s="16" t="s">
        <v>444</v>
      </c>
      <c r="G224" s="16" t="s">
        <v>445</v>
      </c>
      <c r="H224" s="16" t="s">
        <v>28</v>
      </c>
      <c r="I224" s="16" t="s">
        <v>67</v>
      </c>
      <c r="J224" s="17">
        <v>2010</v>
      </c>
      <c r="K224" s="16" t="s">
        <v>30</v>
      </c>
      <c r="L224" s="16" t="s">
        <v>31</v>
      </c>
      <c r="M224" s="16" t="s">
        <v>420</v>
      </c>
      <c r="N224" s="18">
        <f t="shared" si="13"/>
        <v>28.753933649289102</v>
      </c>
      <c r="O224" s="20">
        <v>6.061990521327016</v>
      </c>
      <c r="P224" s="20">
        <v>22.691943127962087</v>
      </c>
      <c r="Q224" s="20">
        <f t="shared" si="14"/>
        <v>0</v>
      </c>
      <c r="R224" s="20"/>
      <c r="S224" s="20"/>
      <c r="T224" s="116">
        <f t="shared" si="15"/>
        <v>0</v>
      </c>
      <c r="U224" s="20"/>
      <c r="V224" s="20"/>
      <c r="W224" s="16" t="s">
        <v>78</v>
      </c>
      <c r="X224" s="152" t="s">
        <v>44</v>
      </c>
      <c r="Y224" s="152" t="s">
        <v>44</v>
      </c>
      <c r="Z224" s="28" t="s">
        <v>543</v>
      </c>
    </row>
    <row r="225" spans="1:26" x14ac:dyDescent="0.25">
      <c r="A225" s="16" t="s">
        <v>433</v>
      </c>
      <c r="B225" s="16" t="s">
        <v>447</v>
      </c>
      <c r="C225" s="16" t="s">
        <v>435</v>
      </c>
      <c r="D225" s="16">
        <v>3</v>
      </c>
      <c r="E225" s="16">
        <v>3</v>
      </c>
      <c r="F225" s="16" t="s">
        <v>444</v>
      </c>
      <c r="G225" s="16" t="s">
        <v>445</v>
      </c>
      <c r="H225" s="16" t="s">
        <v>85</v>
      </c>
      <c r="I225" s="16" t="s">
        <v>67</v>
      </c>
      <c r="J225" s="17"/>
      <c r="K225" s="16" t="s">
        <v>30</v>
      </c>
      <c r="L225" s="16" t="s">
        <v>31</v>
      </c>
      <c r="M225" s="16" t="s">
        <v>420</v>
      </c>
      <c r="N225" s="52">
        <f t="shared" si="13"/>
        <v>0</v>
      </c>
      <c r="O225" s="16"/>
      <c r="P225" s="20"/>
      <c r="Q225" s="20">
        <f t="shared" si="14"/>
        <v>0</v>
      </c>
      <c r="R225" s="16"/>
      <c r="S225" s="20"/>
      <c r="T225" s="116">
        <f t="shared" si="15"/>
        <v>0</v>
      </c>
      <c r="U225" s="16"/>
      <c r="V225" s="20"/>
      <c r="W225" s="16" t="s">
        <v>78</v>
      </c>
      <c r="X225" s="152" t="s">
        <v>44</v>
      </c>
      <c r="Y225" s="152" t="s">
        <v>44</v>
      </c>
      <c r="Z225" s="28" t="s">
        <v>543</v>
      </c>
    </row>
    <row r="226" spans="1:26" x14ac:dyDescent="0.25">
      <c r="A226" s="16" t="s">
        <v>448</v>
      </c>
      <c r="B226" s="16" t="s">
        <v>449</v>
      </c>
      <c r="C226" s="16" t="s">
        <v>450</v>
      </c>
      <c r="D226" s="16">
        <v>1</v>
      </c>
      <c r="E226" s="16">
        <v>1</v>
      </c>
      <c r="F226" s="16" t="s">
        <v>451</v>
      </c>
      <c r="G226" s="16" t="s">
        <v>452</v>
      </c>
      <c r="H226" s="16" t="s">
        <v>28</v>
      </c>
      <c r="I226" s="16" t="s">
        <v>29</v>
      </c>
      <c r="J226" s="17">
        <v>1990</v>
      </c>
      <c r="K226" s="16" t="s">
        <v>30</v>
      </c>
      <c r="L226" s="16" t="s">
        <v>31</v>
      </c>
      <c r="M226" s="16" t="s">
        <v>32</v>
      </c>
      <c r="N226" s="18">
        <f t="shared" si="13"/>
        <v>179.745</v>
      </c>
      <c r="O226" s="20">
        <v>179.745</v>
      </c>
      <c r="P226" s="20"/>
      <c r="Q226" s="18">
        <f t="shared" si="14"/>
        <v>1265.0779</v>
      </c>
      <c r="R226" s="20">
        <v>1265.0779</v>
      </c>
      <c r="S226" s="20"/>
      <c r="T226" s="19">
        <f t="shared" si="15"/>
        <v>1075.3162</v>
      </c>
      <c r="U226" s="20">
        <v>1075.3162</v>
      </c>
      <c r="V226" s="20"/>
      <c r="W226" s="16" t="s">
        <v>78</v>
      </c>
      <c r="X226" s="152" t="s">
        <v>44</v>
      </c>
      <c r="Y226" s="152" t="s">
        <v>44</v>
      </c>
      <c r="Z226" s="28" t="s">
        <v>543</v>
      </c>
    </row>
    <row r="227" spans="1:26" x14ac:dyDescent="0.25">
      <c r="A227" s="16" t="s">
        <v>448</v>
      </c>
      <c r="B227" s="16" t="s">
        <v>453</v>
      </c>
      <c r="C227" s="16" t="s">
        <v>450</v>
      </c>
      <c r="D227" s="16">
        <v>1</v>
      </c>
      <c r="E227" s="16">
        <v>2</v>
      </c>
      <c r="F227" s="16" t="s">
        <v>451</v>
      </c>
      <c r="G227" s="16" t="s">
        <v>454</v>
      </c>
      <c r="H227" s="16" t="s">
        <v>28</v>
      </c>
      <c r="I227" s="16" t="s">
        <v>29</v>
      </c>
      <c r="J227" s="17">
        <v>1979</v>
      </c>
      <c r="K227" s="16" t="s">
        <v>30</v>
      </c>
      <c r="L227" s="16" t="s">
        <v>31</v>
      </c>
      <c r="M227" s="16" t="s">
        <v>32</v>
      </c>
      <c r="N227" s="18">
        <f t="shared" si="13"/>
        <v>24.247299999999999</v>
      </c>
      <c r="O227" s="20">
        <v>24.247299999999999</v>
      </c>
      <c r="P227" s="20"/>
      <c r="Q227" s="18">
        <f t="shared" si="14"/>
        <v>274.10019999999997</v>
      </c>
      <c r="R227" s="20">
        <v>274.10019999999997</v>
      </c>
      <c r="S227" s="20"/>
      <c r="T227" s="19">
        <f t="shared" si="15"/>
        <v>527.11580000000004</v>
      </c>
      <c r="U227" s="20">
        <v>527.11580000000004</v>
      </c>
      <c r="V227" s="20"/>
      <c r="W227" s="16" t="s">
        <v>78</v>
      </c>
      <c r="X227" s="152" t="s">
        <v>44</v>
      </c>
      <c r="Y227" s="152" t="s">
        <v>44</v>
      </c>
      <c r="Z227" s="28" t="s">
        <v>543</v>
      </c>
    </row>
    <row r="228" spans="1:26" x14ac:dyDescent="0.25">
      <c r="A228" s="16" t="s">
        <v>448</v>
      </c>
      <c r="B228" s="16" t="s">
        <v>455</v>
      </c>
      <c r="C228" s="16" t="s">
        <v>450</v>
      </c>
      <c r="D228" s="16">
        <v>1</v>
      </c>
      <c r="E228" s="16">
        <v>3</v>
      </c>
      <c r="F228" s="16" t="s">
        <v>451</v>
      </c>
      <c r="G228" s="16" t="s">
        <v>456</v>
      </c>
      <c r="H228" s="16" t="s">
        <v>28</v>
      </c>
      <c r="I228" s="16" t="s">
        <v>29</v>
      </c>
      <c r="J228" s="17">
        <v>1989</v>
      </c>
      <c r="K228" s="16" t="s">
        <v>70</v>
      </c>
      <c r="L228" s="16"/>
      <c r="M228" s="16" t="s">
        <v>32</v>
      </c>
      <c r="N228" s="18">
        <f t="shared" si="13"/>
        <v>15.869351999999999</v>
      </c>
      <c r="O228" s="20">
        <f>[1]Sheet4!$G99</f>
        <v>15.869351999999999</v>
      </c>
      <c r="P228" s="20"/>
      <c r="Q228" s="18">
        <f t="shared" si="14"/>
        <v>108.96955</v>
      </c>
      <c r="R228" s="20">
        <f>[1]Sheet4!$I99</f>
        <v>108.96955</v>
      </c>
      <c r="S228" s="20"/>
      <c r="T228" s="19">
        <f t="shared" si="15"/>
        <v>169.273088</v>
      </c>
      <c r="U228" s="20">
        <f>[1]Sheet4!H99</f>
        <v>169.273088</v>
      </c>
      <c r="V228" s="20"/>
      <c r="W228" s="16" t="s">
        <v>78</v>
      </c>
      <c r="X228" s="152" t="s">
        <v>44</v>
      </c>
      <c r="Y228" s="152" t="s">
        <v>44</v>
      </c>
      <c r="Z228" s="28" t="s">
        <v>543</v>
      </c>
    </row>
    <row r="229" spans="1:26" x14ac:dyDescent="0.25">
      <c r="A229" s="16" t="s">
        <v>448</v>
      </c>
      <c r="B229" s="16" t="s">
        <v>457</v>
      </c>
      <c r="C229" s="16" t="s">
        <v>450</v>
      </c>
      <c r="D229" s="16">
        <v>1</v>
      </c>
      <c r="E229" s="16">
        <v>4</v>
      </c>
      <c r="F229" s="16" t="s">
        <v>451</v>
      </c>
      <c r="G229" s="16" t="s">
        <v>458</v>
      </c>
      <c r="H229" s="16" t="s">
        <v>28</v>
      </c>
      <c r="I229" s="16" t="s">
        <v>29</v>
      </c>
      <c r="J229" s="17">
        <v>1987</v>
      </c>
      <c r="K229" s="16" t="s">
        <v>30</v>
      </c>
      <c r="L229" s="16" t="s">
        <v>31</v>
      </c>
      <c r="M229" s="16" t="s">
        <v>32</v>
      </c>
      <c r="N229" s="18">
        <f t="shared" si="13"/>
        <v>22.726048250000002</v>
      </c>
      <c r="O229" s="20">
        <f>[1]Sheet4!$G100</f>
        <v>22.726048250000002</v>
      </c>
      <c r="P229" s="20"/>
      <c r="Q229" s="18">
        <f t="shared" si="14"/>
        <v>274.82663000000002</v>
      </c>
      <c r="R229" s="20">
        <f>[1]Sheet4!$I100</f>
        <v>274.82663000000002</v>
      </c>
      <c r="S229" s="20"/>
      <c r="T229" s="19">
        <f t="shared" si="15"/>
        <v>274.82663000000002</v>
      </c>
      <c r="U229" s="20">
        <f>[1]Sheet4!H100</f>
        <v>274.82663000000002</v>
      </c>
      <c r="V229" s="20"/>
      <c r="W229" s="16" t="s">
        <v>78</v>
      </c>
      <c r="X229" s="152" t="s">
        <v>44</v>
      </c>
      <c r="Y229" s="152" t="s">
        <v>44</v>
      </c>
      <c r="Z229" s="28" t="s">
        <v>543</v>
      </c>
    </row>
    <row r="230" spans="1:26" x14ac:dyDescent="0.25">
      <c r="A230" s="16" t="s">
        <v>448</v>
      </c>
      <c r="B230" s="16" t="s">
        <v>459</v>
      </c>
      <c r="C230" s="16" t="s">
        <v>450</v>
      </c>
      <c r="D230" s="16">
        <v>1</v>
      </c>
      <c r="E230" s="16">
        <v>5</v>
      </c>
      <c r="F230" s="16" t="s">
        <v>451</v>
      </c>
      <c r="G230" s="16" t="s">
        <v>460</v>
      </c>
      <c r="H230" s="16" t="s">
        <v>28</v>
      </c>
      <c r="I230" s="16" t="s">
        <v>29</v>
      </c>
      <c r="J230" s="17">
        <v>1988</v>
      </c>
      <c r="K230" s="16" t="s">
        <v>30</v>
      </c>
      <c r="L230" s="16" t="s">
        <v>31</v>
      </c>
      <c r="M230" s="16" t="s">
        <v>32</v>
      </c>
      <c r="N230" s="18">
        <f t="shared" si="13"/>
        <v>7.3583037429999996</v>
      </c>
      <c r="O230" s="20">
        <f>[1]Sheet4!$G101</f>
        <v>7.3583037429999996</v>
      </c>
      <c r="P230" s="20"/>
      <c r="Q230" s="18">
        <f t="shared" si="14"/>
        <v>89.350830999999999</v>
      </c>
      <c r="R230" s="20">
        <f>[1]Sheet4!$I101</f>
        <v>89.350830999999999</v>
      </c>
      <c r="S230" s="20"/>
      <c r="T230" s="19">
        <f t="shared" si="15"/>
        <v>94.606762000000003</v>
      </c>
      <c r="U230" s="20">
        <f>[1]Sheet4!H101</f>
        <v>94.606762000000003</v>
      </c>
      <c r="V230" s="20"/>
      <c r="W230" s="16" t="s">
        <v>78</v>
      </c>
      <c r="X230" s="152" t="s">
        <v>44</v>
      </c>
      <c r="Y230" s="152" t="s">
        <v>44</v>
      </c>
      <c r="Z230" s="28" t="s">
        <v>543</v>
      </c>
    </row>
    <row r="231" spans="1:26" x14ac:dyDescent="0.25">
      <c r="A231" s="16" t="s">
        <v>448</v>
      </c>
      <c r="B231" s="16" t="s">
        <v>461</v>
      </c>
      <c r="C231" s="16" t="s">
        <v>450</v>
      </c>
      <c r="D231" s="16">
        <v>1</v>
      </c>
      <c r="E231" s="16">
        <v>6</v>
      </c>
      <c r="F231" s="16" t="s">
        <v>451</v>
      </c>
      <c r="G231" s="16" t="s">
        <v>462</v>
      </c>
      <c r="H231" s="16" t="s">
        <v>28</v>
      </c>
      <c r="I231" s="16" t="s">
        <v>29</v>
      </c>
      <c r="J231" s="17">
        <v>1977</v>
      </c>
      <c r="K231" s="16" t="s">
        <v>30</v>
      </c>
      <c r="L231" s="16" t="s">
        <v>31</v>
      </c>
      <c r="M231" s="16" t="s">
        <v>32</v>
      </c>
      <c r="N231" s="18">
        <f t="shared" si="13"/>
        <v>4.4747102400000003</v>
      </c>
      <c r="O231" s="20">
        <f>[1]Sheet4!$G102</f>
        <v>4.4747102400000003</v>
      </c>
      <c r="P231" s="20"/>
      <c r="Q231" s="18">
        <f t="shared" si="14"/>
        <v>53.270359999999997</v>
      </c>
      <c r="R231" s="20">
        <f>[1]Sheet4!$I102</f>
        <v>53.270359999999997</v>
      </c>
      <c r="S231" s="20"/>
      <c r="T231" s="19">
        <f t="shared" si="15"/>
        <v>53.270359999999997</v>
      </c>
      <c r="U231" s="20">
        <f>[1]Sheet4!H102</f>
        <v>53.270359999999997</v>
      </c>
      <c r="V231" s="20"/>
      <c r="W231" s="16" t="s">
        <v>78</v>
      </c>
      <c r="X231" s="152" t="s">
        <v>44</v>
      </c>
      <c r="Y231" s="152" t="s">
        <v>44</v>
      </c>
      <c r="Z231" s="28" t="s">
        <v>543</v>
      </c>
    </row>
    <row r="232" spans="1:26" x14ac:dyDescent="0.25">
      <c r="A232" s="16" t="s">
        <v>448</v>
      </c>
      <c r="B232" s="16" t="s">
        <v>463</v>
      </c>
      <c r="C232" s="16" t="s">
        <v>450</v>
      </c>
      <c r="D232" s="16">
        <v>1</v>
      </c>
      <c r="E232" s="16">
        <v>7</v>
      </c>
      <c r="F232" s="16" t="s">
        <v>451</v>
      </c>
      <c r="G232" s="16" t="s">
        <v>464</v>
      </c>
      <c r="H232" s="16" t="s">
        <v>28</v>
      </c>
      <c r="I232" s="16" t="s">
        <v>29</v>
      </c>
      <c r="J232" s="17">
        <v>1978</v>
      </c>
      <c r="K232" s="16" t="s">
        <v>70</v>
      </c>
      <c r="L232" s="16"/>
      <c r="M232" s="16" t="s">
        <v>32</v>
      </c>
      <c r="N232" s="18">
        <f t="shared" si="13"/>
        <v>3.28544014</v>
      </c>
      <c r="O232" s="20">
        <f>[1]Sheet4!$G103</f>
        <v>3.28544014</v>
      </c>
      <c r="P232" s="20"/>
      <c r="Q232" s="18">
        <f t="shared" si="14"/>
        <v>21.196387999999999</v>
      </c>
      <c r="R232" s="20">
        <f>[1]Sheet4!$I103</f>
        <v>21.196387999999999</v>
      </c>
      <c r="S232" s="20"/>
      <c r="T232" s="19">
        <f t="shared" si="15"/>
        <v>22.256207</v>
      </c>
      <c r="U232" s="20">
        <f>[1]Sheet4!H103</f>
        <v>22.256207</v>
      </c>
      <c r="V232" s="20"/>
      <c r="W232" s="16" t="s">
        <v>78</v>
      </c>
      <c r="X232" s="152" t="s">
        <v>44</v>
      </c>
      <c r="Y232" s="152" t="s">
        <v>44</v>
      </c>
      <c r="Z232" s="28" t="s">
        <v>543</v>
      </c>
    </row>
    <row r="233" spans="1:26" x14ac:dyDescent="0.25">
      <c r="A233" s="16" t="s">
        <v>448</v>
      </c>
      <c r="B233" s="16" t="s">
        <v>465</v>
      </c>
      <c r="C233" s="16" t="s">
        <v>450</v>
      </c>
      <c r="D233" s="16">
        <v>1</v>
      </c>
      <c r="E233" s="16">
        <v>8</v>
      </c>
      <c r="F233" s="16" t="s">
        <v>451</v>
      </c>
      <c r="G233" s="16" t="s">
        <v>466</v>
      </c>
      <c r="H233" s="16" t="s">
        <v>28</v>
      </c>
      <c r="I233" s="16" t="s">
        <v>29</v>
      </c>
      <c r="J233" s="17">
        <v>1984</v>
      </c>
      <c r="K233" s="16" t="s">
        <v>30</v>
      </c>
      <c r="L233" s="16" t="s">
        <v>31</v>
      </c>
      <c r="M233" s="16" t="s">
        <v>32</v>
      </c>
      <c r="N233" s="18">
        <f t="shared" si="13"/>
        <v>20.259127679999999</v>
      </c>
      <c r="O233" s="20">
        <f>[1]Sheet4!$G104</f>
        <v>20.259127679999999</v>
      </c>
      <c r="P233" s="20"/>
      <c r="Q233" s="18">
        <f t="shared" si="14"/>
        <v>221.58420899999999</v>
      </c>
      <c r="R233" s="20">
        <f>[1]Sheet4!$I104</f>
        <v>221.58420899999999</v>
      </c>
      <c r="S233" s="20"/>
      <c r="T233" s="19">
        <f t="shared" si="15"/>
        <v>221.58420899999999</v>
      </c>
      <c r="U233" s="20">
        <f>[1]Sheet4!H104</f>
        <v>221.58420899999999</v>
      </c>
      <c r="V233" s="20"/>
      <c r="W233" s="16" t="s">
        <v>78</v>
      </c>
      <c r="X233" s="152" t="s">
        <v>44</v>
      </c>
      <c r="Y233" s="152" t="s">
        <v>44</v>
      </c>
      <c r="Z233" s="28" t="s">
        <v>543</v>
      </c>
    </row>
    <row r="234" spans="1:26" x14ac:dyDescent="0.25">
      <c r="A234" s="16" t="s">
        <v>448</v>
      </c>
      <c r="B234" s="16" t="s">
        <v>467</v>
      </c>
      <c r="C234" s="16" t="s">
        <v>450</v>
      </c>
      <c r="D234" s="16">
        <v>1</v>
      </c>
      <c r="E234" s="16">
        <v>9</v>
      </c>
      <c r="F234" s="16" t="s">
        <v>451</v>
      </c>
      <c r="G234" s="16" t="s">
        <v>468</v>
      </c>
      <c r="H234" s="16" t="s">
        <v>28</v>
      </c>
      <c r="I234" s="16" t="s">
        <v>29</v>
      </c>
      <c r="J234" s="17">
        <v>1991</v>
      </c>
      <c r="K234" s="16" t="s">
        <v>30</v>
      </c>
      <c r="L234" s="16" t="s">
        <v>31</v>
      </c>
      <c r="M234" s="16" t="s">
        <v>32</v>
      </c>
      <c r="N234" s="18">
        <f t="shared" si="13"/>
        <v>10.76312723</v>
      </c>
      <c r="O234" s="20">
        <f>[1]Sheet4!$G105</f>
        <v>10.76312723</v>
      </c>
      <c r="P234" s="20"/>
      <c r="Q234" s="18">
        <f t="shared" si="14"/>
        <v>107.631272</v>
      </c>
      <c r="R234" s="20">
        <f>[1]Sheet4!$I105</f>
        <v>107.631272</v>
      </c>
      <c r="S234" s="20"/>
      <c r="T234" s="19">
        <f t="shared" si="15"/>
        <v>107.631272</v>
      </c>
      <c r="U234" s="20">
        <f>[1]Sheet4!H105</f>
        <v>107.631272</v>
      </c>
      <c r="V234" s="20"/>
      <c r="W234" s="16" t="s">
        <v>78</v>
      </c>
      <c r="X234" s="152" t="s">
        <v>44</v>
      </c>
      <c r="Y234" s="152" t="s">
        <v>44</v>
      </c>
      <c r="Z234" s="28" t="s">
        <v>543</v>
      </c>
    </row>
    <row r="235" spans="1:26" x14ac:dyDescent="0.25">
      <c r="A235" s="16" t="s">
        <v>448</v>
      </c>
      <c r="B235" s="16" t="s">
        <v>469</v>
      </c>
      <c r="C235" s="16" t="s">
        <v>450</v>
      </c>
      <c r="D235" s="16">
        <v>1</v>
      </c>
      <c r="E235" s="16">
        <v>10</v>
      </c>
      <c r="F235" s="16" t="s">
        <v>451</v>
      </c>
      <c r="G235" s="16" t="s">
        <v>470</v>
      </c>
      <c r="H235" s="16" t="s">
        <v>28</v>
      </c>
      <c r="I235" s="16" t="s">
        <v>29</v>
      </c>
      <c r="J235" s="17">
        <v>1987</v>
      </c>
      <c r="K235" s="16" t="s">
        <v>30</v>
      </c>
      <c r="L235" s="16" t="s">
        <v>31</v>
      </c>
      <c r="M235" s="16" t="s">
        <v>32</v>
      </c>
      <c r="N235" s="18">
        <f t="shared" si="13"/>
        <v>13.8139729</v>
      </c>
      <c r="O235" s="20">
        <f>[1]Sheet4!$G106</f>
        <v>13.8139729</v>
      </c>
      <c r="P235" s="20"/>
      <c r="Q235" s="18">
        <f t="shared" si="14"/>
        <v>83.946450999999996</v>
      </c>
      <c r="R235" s="20">
        <f>[1]Sheet4!$I106</f>
        <v>83.946450999999996</v>
      </c>
      <c r="S235" s="20"/>
      <c r="T235" s="19">
        <f t="shared" si="15"/>
        <v>138.13972899999999</v>
      </c>
      <c r="U235" s="20">
        <f>[1]Sheet4!H106</f>
        <v>138.13972899999999</v>
      </c>
      <c r="V235" s="20"/>
      <c r="W235" s="16" t="s">
        <v>78</v>
      </c>
      <c r="X235" s="152" t="s">
        <v>44</v>
      </c>
      <c r="Y235" s="152" t="s">
        <v>44</v>
      </c>
      <c r="Z235" s="28" t="s">
        <v>543</v>
      </c>
    </row>
    <row r="236" spans="1:26" x14ac:dyDescent="0.25">
      <c r="A236" s="16" t="s">
        <v>448</v>
      </c>
      <c r="B236" s="16" t="s">
        <v>471</v>
      </c>
      <c r="C236" s="16" t="s">
        <v>450</v>
      </c>
      <c r="D236" s="16">
        <v>1</v>
      </c>
      <c r="E236" s="16">
        <v>11</v>
      </c>
      <c r="F236" s="16" t="s">
        <v>451</v>
      </c>
      <c r="G236" s="16" t="s">
        <v>472</v>
      </c>
      <c r="H236" s="16" t="s">
        <v>28</v>
      </c>
      <c r="I236" s="16" t="s">
        <v>29</v>
      </c>
      <c r="J236" s="17">
        <v>1982</v>
      </c>
      <c r="K236" s="16" t="s">
        <v>30</v>
      </c>
      <c r="L236" s="16" t="s">
        <v>31</v>
      </c>
      <c r="M236" s="16" t="s">
        <v>32</v>
      </c>
      <c r="N236" s="18">
        <f t="shared" si="13"/>
        <v>19.853453399999999</v>
      </c>
      <c r="O236" s="20">
        <f>[1]Sheet4!$G107</f>
        <v>19.853453399999999</v>
      </c>
      <c r="P236" s="20"/>
      <c r="Q236" s="18">
        <f t="shared" si="14"/>
        <v>240.331278</v>
      </c>
      <c r="R236" s="20">
        <f>[1]Sheet4!$I107</f>
        <v>240.331278</v>
      </c>
      <c r="S236" s="20"/>
      <c r="T236" s="19">
        <f t="shared" si="15"/>
        <v>240.331278</v>
      </c>
      <c r="U236" s="20">
        <f>[1]Sheet4!H107</f>
        <v>240.331278</v>
      </c>
      <c r="V236" s="20"/>
      <c r="W236" s="16" t="s">
        <v>78</v>
      </c>
      <c r="X236" s="152" t="s">
        <v>44</v>
      </c>
      <c r="Y236" s="152" t="s">
        <v>44</v>
      </c>
      <c r="Z236" s="28" t="s">
        <v>543</v>
      </c>
    </row>
    <row r="237" spans="1:26" x14ac:dyDescent="0.25">
      <c r="A237" s="16" t="s">
        <v>448</v>
      </c>
      <c r="B237" s="16" t="s">
        <v>473</v>
      </c>
      <c r="C237" s="16" t="s">
        <v>450</v>
      </c>
      <c r="D237" s="16">
        <v>1</v>
      </c>
      <c r="E237" s="16">
        <v>12</v>
      </c>
      <c r="F237" s="16" t="s">
        <v>451</v>
      </c>
      <c r="G237" s="16" t="s">
        <v>474</v>
      </c>
      <c r="H237" s="16" t="s">
        <v>28</v>
      </c>
      <c r="I237" s="16" t="s">
        <v>29</v>
      </c>
      <c r="J237" s="17">
        <v>1996</v>
      </c>
      <c r="K237" s="16" t="s">
        <v>30</v>
      </c>
      <c r="L237" s="16" t="s">
        <v>31</v>
      </c>
      <c r="M237" s="16" t="s">
        <v>32</v>
      </c>
      <c r="N237" s="18">
        <f t="shared" si="13"/>
        <v>0</v>
      </c>
      <c r="O237" s="20">
        <v>0</v>
      </c>
      <c r="P237" s="20"/>
      <c r="Q237" s="18">
        <f t="shared" si="14"/>
        <v>0</v>
      </c>
      <c r="R237" s="20">
        <v>0</v>
      </c>
      <c r="S237" s="20"/>
      <c r="T237" s="19">
        <f t="shared" si="15"/>
        <v>0</v>
      </c>
      <c r="U237" s="20">
        <v>0</v>
      </c>
      <c r="V237" s="20"/>
      <c r="W237" s="16" t="s">
        <v>78</v>
      </c>
      <c r="X237" s="152" t="s">
        <v>44</v>
      </c>
      <c r="Y237" s="152" t="s">
        <v>44</v>
      </c>
      <c r="Z237" s="28" t="s">
        <v>543</v>
      </c>
    </row>
    <row r="238" spans="1:26" s="30" customFormat="1" x14ac:dyDescent="0.25">
      <c r="A238" s="16" t="s">
        <v>475</v>
      </c>
      <c r="B238" s="16" t="s">
        <v>476</v>
      </c>
      <c r="C238" s="16" t="s">
        <v>477</v>
      </c>
      <c r="D238" s="16">
        <v>1</v>
      </c>
      <c r="E238" s="16">
        <v>1</v>
      </c>
      <c r="F238" s="16" t="s">
        <v>478</v>
      </c>
      <c r="G238" s="16" t="s">
        <v>479</v>
      </c>
      <c r="H238" s="16" t="s">
        <v>28</v>
      </c>
      <c r="I238" s="16" t="s">
        <v>29</v>
      </c>
      <c r="J238" s="17">
        <v>2015</v>
      </c>
      <c r="K238" s="16" t="s">
        <v>64</v>
      </c>
      <c r="L238" s="16"/>
      <c r="M238" s="16" t="s">
        <v>32</v>
      </c>
      <c r="N238" s="18">
        <f t="shared" si="13"/>
        <v>0.56999999999999995</v>
      </c>
      <c r="O238" s="20">
        <f>50*11.4/1000</f>
        <v>0.56999999999999995</v>
      </c>
      <c r="P238" s="20"/>
      <c r="Q238" s="18">
        <f t="shared" si="14"/>
        <v>136.80000000000001</v>
      </c>
      <c r="R238" s="20">
        <f>12*11.4</f>
        <v>136.80000000000001</v>
      </c>
      <c r="S238" s="20"/>
      <c r="T238" s="19">
        <f t="shared" si="15"/>
        <v>0</v>
      </c>
      <c r="U238" s="20"/>
      <c r="V238" s="20"/>
      <c r="W238" s="16" t="s">
        <v>249</v>
      </c>
      <c r="X238" s="152" t="s">
        <v>34</v>
      </c>
      <c r="Y238" s="152" t="s">
        <v>34</v>
      </c>
      <c r="Z238" s="28" t="s">
        <v>544</v>
      </c>
    </row>
    <row r="239" spans="1:26" s="30" customFormat="1" x14ac:dyDescent="0.25">
      <c r="A239" s="16" t="s">
        <v>475</v>
      </c>
      <c r="B239" s="16" t="s">
        <v>480</v>
      </c>
      <c r="C239" s="16" t="s">
        <v>477</v>
      </c>
      <c r="D239" s="16">
        <v>1</v>
      </c>
      <c r="E239" s="16">
        <v>2</v>
      </c>
      <c r="F239" s="16" t="s">
        <v>478</v>
      </c>
      <c r="G239" s="16" t="s">
        <v>479</v>
      </c>
      <c r="H239" s="16" t="s">
        <v>66</v>
      </c>
      <c r="I239" s="16" t="s">
        <v>67</v>
      </c>
      <c r="J239" s="17">
        <v>2018</v>
      </c>
      <c r="K239" s="16" t="s">
        <v>64</v>
      </c>
      <c r="L239" s="16"/>
      <c r="M239" s="16" t="s">
        <v>32</v>
      </c>
      <c r="N239" s="28">
        <f t="shared" si="13"/>
        <v>0.37619999999999998</v>
      </c>
      <c r="O239" s="20">
        <f>O238*0.66</f>
        <v>0.37619999999999998</v>
      </c>
      <c r="P239" s="20"/>
      <c r="Q239" s="28">
        <f t="shared" si="14"/>
        <v>90.288000000000011</v>
      </c>
      <c r="R239" s="20">
        <f>R238*0.66</f>
        <v>90.288000000000011</v>
      </c>
      <c r="S239" s="20"/>
      <c r="T239" s="29">
        <f t="shared" si="15"/>
        <v>0</v>
      </c>
      <c r="U239" s="20"/>
      <c r="V239" s="20"/>
      <c r="W239" s="16" t="s">
        <v>249</v>
      </c>
      <c r="X239" s="152" t="s">
        <v>34</v>
      </c>
      <c r="Y239" s="152" t="s">
        <v>34</v>
      </c>
      <c r="Z239" s="28" t="s">
        <v>544</v>
      </c>
    </row>
    <row r="240" spans="1:26" s="30" customFormat="1" x14ac:dyDescent="0.25">
      <c r="A240" s="16" t="s">
        <v>475</v>
      </c>
      <c r="B240" s="16" t="s">
        <v>481</v>
      </c>
      <c r="C240" s="16" t="s">
        <v>477</v>
      </c>
      <c r="D240" s="16">
        <v>1</v>
      </c>
      <c r="E240" s="16">
        <v>3</v>
      </c>
      <c r="F240" s="16" t="s">
        <v>478</v>
      </c>
      <c r="G240" s="16" t="s">
        <v>482</v>
      </c>
      <c r="H240" s="16" t="s">
        <v>28</v>
      </c>
      <c r="I240" s="16" t="s">
        <v>29</v>
      </c>
      <c r="J240" s="17">
        <v>2001</v>
      </c>
      <c r="K240" s="16" t="s">
        <v>64</v>
      </c>
      <c r="L240" s="16"/>
      <c r="M240" s="16" t="s">
        <v>32</v>
      </c>
      <c r="N240" s="18">
        <f t="shared" si="13"/>
        <v>0.25080000000000002</v>
      </c>
      <c r="O240" s="20">
        <f>22*11.4/1000</f>
        <v>0.25080000000000002</v>
      </c>
      <c r="P240" s="20"/>
      <c r="Q240" s="18">
        <f t="shared" si="14"/>
        <v>57</v>
      </c>
      <c r="R240" s="20">
        <f>5*11.4</f>
        <v>57</v>
      </c>
      <c r="S240" s="20"/>
      <c r="T240" s="19">
        <f t="shared" si="15"/>
        <v>0</v>
      </c>
      <c r="U240" s="20"/>
      <c r="V240" s="20"/>
      <c r="W240" s="16" t="s">
        <v>249</v>
      </c>
      <c r="X240" s="152" t="s">
        <v>34</v>
      </c>
      <c r="Y240" s="152" t="s">
        <v>34</v>
      </c>
      <c r="Z240" s="28" t="s">
        <v>544</v>
      </c>
    </row>
    <row r="241" spans="1:26" s="30" customFormat="1" x14ac:dyDescent="0.25">
      <c r="A241" s="16" t="s">
        <v>475</v>
      </c>
      <c r="B241" s="16" t="s">
        <v>483</v>
      </c>
      <c r="C241" s="16" t="s">
        <v>477</v>
      </c>
      <c r="D241" s="32">
        <v>2</v>
      </c>
      <c r="E241" s="32">
        <v>1</v>
      </c>
      <c r="F241" s="32" t="s">
        <v>484</v>
      </c>
      <c r="G241" s="33" t="s">
        <v>485</v>
      </c>
      <c r="H241" s="32" t="s">
        <v>85</v>
      </c>
      <c r="I241" s="32" t="s">
        <v>94</v>
      </c>
      <c r="J241" s="34"/>
      <c r="K241" s="32" t="s">
        <v>64</v>
      </c>
      <c r="L241" s="32"/>
      <c r="M241" s="32" t="s">
        <v>420</v>
      </c>
      <c r="N241" s="53">
        <f t="shared" si="13"/>
        <v>17.100000000000001</v>
      </c>
      <c r="O241" s="103">
        <f>1.5*11.4</f>
        <v>17.100000000000001</v>
      </c>
      <c r="P241" s="103"/>
      <c r="Q241" s="53">
        <f t="shared" si="14"/>
        <v>0</v>
      </c>
      <c r="R241" s="103"/>
      <c r="S241" s="103"/>
      <c r="T241" s="104">
        <f t="shared" si="15"/>
        <v>0</v>
      </c>
      <c r="U241" s="103"/>
      <c r="V241" s="103"/>
      <c r="W241" s="32" t="s">
        <v>33</v>
      </c>
      <c r="X241" s="152" t="s">
        <v>34</v>
      </c>
      <c r="Y241" s="152" t="s">
        <v>34</v>
      </c>
      <c r="Z241" s="28" t="s">
        <v>544</v>
      </c>
    </row>
    <row r="242" spans="1:26" s="30" customFormat="1" x14ac:dyDescent="0.25">
      <c r="A242" s="16" t="s">
        <v>475</v>
      </c>
      <c r="B242" s="16" t="s">
        <v>486</v>
      </c>
      <c r="C242" s="16" t="s">
        <v>477</v>
      </c>
      <c r="D242" s="16">
        <v>3</v>
      </c>
      <c r="E242" s="16">
        <v>1</v>
      </c>
      <c r="F242" s="16" t="s">
        <v>487</v>
      </c>
      <c r="G242" s="16" t="s">
        <v>488</v>
      </c>
      <c r="H242" s="16" t="s">
        <v>85</v>
      </c>
      <c r="I242" s="16" t="s">
        <v>94</v>
      </c>
      <c r="J242" s="17">
        <v>2020</v>
      </c>
      <c r="K242" s="16" t="s">
        <v>64</v>
      </c>
      <c r="L242" s="16"/>
      <c r="M242" s="16" t="s">
        <v>32</v>
      </c>
      <c r="N242" s="18">
        <f t="shared" si="13"/>
        <v>6.84</v>
      </c>
      <c r="O242" s="20">
        <f>0.6*11.4</f>
        <v>6.84</v>
      </c>
      <c r="P242" s="20"/>
      <c r="Q242" s="18">
        <f t="shared" si="14"/>
        <v>0</v>
      </c>
      <c r="R242" s="20"/>
      <c r="S242" s="20"/>
      <c r="T242" s="19">
        <f t="shared" si="15"/>
        <v>0</v>
      </c>
      <c r="U242" s="20"/>
      <c r="V242" s="20"/>
      <c r="W242" s="16" t="s">
        <v>33</v>
      </c>
      <c r="X242" s="152" t="s">
        <v>34</v>
      </c>
      <c r="Y242" s="152" t="s">
        <v>34</v>
      </c>
      <c r="Z242" s="28" t="s">
        <v>544</v>
      </c>
    </row>
    <row r="243" spans="1:26" s="30" customFormat="1" x14ac:dyDescent="0.25">
      <c r="A243" s="16" t="s">
        <v>475</v>
      </c>
      <c r="B243" s="16" t="s">
        <v>489</v>
      </c>
      <c r="C243" s="16" t="s">
        <v>477</v>
      </c>
      <c r="D243" s="27">
        <v>4</v>
      </c>
      <c r="E243" s="27">
        <v>1</v>
      </c>
      <c r="F243" s="27" t="s">
        <v>490</v>
      </c>
      <c r="G243" s="27" t="s">
        <v>491</v>
      </c>
      <c r="H243" s="27" t="s">
        <v>28</v>
      </c>
      <c r="I243" s="27" t="s">
        <v>29</v>
      </c>
      <c r="J243" s="35">
        <v>2012</v>
      </c>
      <c r="K243" s="27" t="s">
        <v>64</v>
      </c>
      <c r="L243" s="27"/>
      <c r="M243" s="16" t="s">
        <v>32</v>
      </c>
      <c r="N243" s="18">
        <f t="shared" si="13"/>
        <v>2.2800000000000002</v>
      </c>
      <c r="O243" s="20">
        <f>0.2*11.4</f>
        <v>2.2800000000000002</v>
      </c>
      <c r="P243" s="20"/>
      <c r="Q243" s="18">
        <f t="shared" si="14"/>
        <v>250.8</v>
      </c>
      <c r="R243" s="20">
        <f>22*11.4</f>
        <v>250.8</v>
      </c>
      <c r="S243" s="20"/>
      <c r="T243" s="19">
        <f t="shared" si="15"/>
        <v>0</v>
      </c>
      <c r="U243" s="20"/>
      <c r="V243" s="20"/>
      <c r="W243" s="16" t="s">
        <v>249</v>
      </c>
      <c r="X243" s="152" t="s">
        <v>34</v>
      </c>
      <c r="Y243" s="152" t="s">
        <v>34</v>
      </c>
      <c r="Z243" s="28" t="s">
        <v>544</v>
      </c>
    </row>
    <row r="244" spans="1:26" s="30" customFormat="1" x14ac:dyDescent="0.25">
      <c r="A244" s="16" t="s">
        <v>475</v>
      </c>
      <c r="B244" s="16" t="s">
        <v>492</v>
      </c>
      <c r="C244" s="16" t="s">
        <v>477</v>
      </c>
      <c r="D244" s="16">
        <v>5</v>
      </c>
      <c r="E244" s="16">
        <v>1</v>
      </c>
      <c r="F244" s="16" t="s">
        <v>493</v>
      </c>
      <c r="G244" s="16" t="s">
        <v>494</v>
      </c>
      <c r="H244" s="16" t="s">
        <v>28</v>
      </c>
      <c r="I244" s="16" t="s">
        <v>29</v>
      </c>
      <c r="J244" s="17">
        <v>2005</v>
      </c>
      <c r="K244" s="16" t="s">
        <v>30</v>
      </c>
      <c r="L244" s="16" t="s">
        <v>31</v>
      </c>
      <c r="M244" s="16" t="s">
        <v>32</v>
      </c>
      <c r="N244" s="18">
        <f t="shared" si="13"/>
        <v>3.42</v>
      </c>
      <c r="O244" s="20">
        <f>0.3*11.4</f>
        <v>3.42</v>
      </c>
      <c r="P244" s="20"/>
      <c r="Q244" s="18">
        <f t="shared" si="14"/>
        <v>79.8</v>
      </c>
      <c r="R244" s="20">
        <f>7*11.4</f>
        <v>79.8</v>
      </c>
      <c r="S244" s="20"/>
      <c r="T244" s="19">
        <f t="shared" si="15"/>
        <v>0</v>
      </c>
      <c r="U244" s="20"/>
      <c r="V244" s="20"/>
      <c r="W244" s="16" t="s">
        <v>249</v>
      </c>
      <c r="X244" s="152" t="s">
        <v>34</v>
      </c>
      <c r="Y244" s="152" t="s">
        <v>34</v>
      </c>
      <c r="Z244" s="28" t="s">
        <v>544</v>
      </c>
    </row>
    <row r="245" spans="1:26" s="30" customFormat="1" x14ac:dyDescent="0.25">
      <c r="A245" s="16" t="s">
        <v>475</v>
      </c>
      <c r="B245" s="16" t="s">
        <v>495</v>
      </c>
      <c r="C245" s="16" t="s">
        <v>477</v>
      </c>
      <c r="D245" s="16">
        <v>6</v>
      </c>
      <c r="E245" s="16">
        <v>1</v>
      </c>
      <c r="F245" s="16" t="s">
        <v>496</v>
      </c>
      <c r="G245" s="16" t="s">
        <v>497</v>
      </c>
      <c r="H245" s="16" t="s">
        <v>85</v>
      </c>
      <c r="I245" s="16" t="s">
        <v>94</v>
      </c>
      <c r="J245" s="17">
        <v>2021</v>
      </c>
      <c r="K245" s="16" t="s">
        <v>64</v>
      </c>
      <c r="L245" s="16"/>
      <c r="M245" s="16"/>
      <c r="N245" s="18">
        <f t="shared" si="13"/>
        <v>1.9000000000000001</v>
      </c>
      <c r="O245" s="20">
        <f>500*11.4/1000/3</f>
        <v>1.9000000000000001</v>
      </c>
      <c r="P245" s="20"/>
      <c r="Q245" s="19">
        <f t="shared" si="14"/>
        <v>83.600000000000009</v>
      </c>
      <c r="R245" s="20">
        <f>22*11.4/3</f>
        <v>83.600000000000009</v>
      </c>
      <c r="S245" s="20"/>
      <c r="T245" s="19">
        <f t="shared" si="15"/>
        <v>45.6</v>
      </c>
      <c r="U245" s="20">
        <f>12*11.4/3</f>
        <v>45.6</v>
      </c>
      <c r="V245" s="20"/>
      <c r="W245" s="16" t="s">
        <v>33</v>
      </c>
      <c r="X245" s="152" t="s">
        <v>34</v>
      </c>
      <c r="Y245" s="152" t="s">
        <v>34</v>
      </c>
      <c r="Z245" s="28" t="s">
        <v>544</v>
      </c>
    </row>
    <row r="246" spans="1:26" s="30" customFormat="1" x14ac:dyDescent="0.25">
      <c r="A246" s="16" t="s">
        <v>475</v>
      </c>
      <c r="B246" s="16" t="s">
        <v>498</v>
      </c>
      <c r="C246" s="16" t="s">
        <v>477</v>
      </c>
      <c r="D246" s="16">
        <v>6</v>
      </c>
      <c r="E246" s="16">
        <v>2</v>
      </c>
      <c r="F246" s="16" t="s">
        <v>496</v>
      </c>
      <c r="G246" s="16" t="s">
        <v>497</v>
      </c>
      <c r="H246" s="16" t="s">
        <v>85</v>
      </c>
      <c r="I246" s="16" t="s">
        <v>67</v>
      </c>
      <c r="J246" s="17">
        <v>2022</v>
      </c>
      <c r="K246" s="16" t="s">
        <v>64</v>
      </c>
      <c r="L246" s="16"/>
      <c r="M246" s="16"/>
      <c r="N246" s="18">
        <f t="shared" si="13"/>
        <v>1.9000000000000001</v>
      </c>
      <c r="O246" s="20">
        <f>500*11.4/1000/3</f>
        <v>1.9000000000000001</v>
      </c>
      <c r="P246" s="20"/>
      <c r="Q246" s="19">
        <f t="shared" si="14"/>
        <v>83.600000000000009</v>
      </c>
      <c r="R246" s="20">
        <f>22*11.4/3</f>
        <v>83.600000000000009</v>
      </c>
      <c r="S246" s="20"/>
      <c r="T246" s="19">
        <f t="shared" si="15"/>
        <v>45.6</v>
      </c>
      <c r="U246" s="20">
        <f>12*11.4/3</f>
        <v>45.6</v>
      </c>
      <c r="V246" s="20"/>
      <c r="W246" s="16" t="s">
        <v>33</v>
      </c>
      <c r="X246" s="152" t="s">
        <v>34</v>
      </c>
      <c r="Y246" s="152" t="s">
        <v>34</v>
      </c>
      <c r="Z246" s="28" t="s">
        <v>544</v>
      </c>
    </row>
    <row r="247" spans="1:26" s="30" customFormat="1" x14ac:dyDescent="0.25">
      <c r="A247" s="16" t="s">
        <v>475</v>
      </c>
      <c r="B247" s="16" t="s">
        <v>499</v>
      </c>
      <c r="C247" s="16" t="s">
        <v>477</v>
      </c>
      <c r="D247" s="16">
        <v>6</v>
      </c>
      <c r="E247" s="16">
        <v>3</v>
      </c>
      <c r="F247" s="16" t="s">
        <v>496</v>
      </c>
      <c r="G247" s="16" t="s">
        <v>497</v>
      </c>
      <c r="H247" s="16" t="s">
        <v>85</v>
      </c>
      <c r="I247" s="16" t="s">
        <v>67</v>
      </c>
      <c r="J247" s="17">
        <v>2025</v>
      </c>
      <c r="K247" s="16" t="s">
        <v>64</v>
      </c>
      <c r="L247" s="16"/>
      <c r="M247" s="16"/>
      <c r="N247" s="18">
        <f t="shared" si="13"/>
        <v>1.9000000000000001</v>
      </c>
      <c r="O247" s="20">
        <f>500*11.4/1000/3</f>
        <v>1.9000000000000001</v>
      </c>
      <c r="P247" s="20"/>
      <c r="Q247" s="19">
        <f t="shared" si="14"/>
        <v>83.600000000000009</v>
      </c>
      <c r="R247" s="20">
        <f>22*11.4/3</f>
        <v>83.600000000000009</v>
      </c>
      <c r="S247" s="20"/>
      <c r="T247" s="19">
        <f t="shared" si="15"/>
        <v>45.6</v>
      </c>
      <c r="U247" s="20">
        <f>12*11.4/3</f>
        <v>45.6</v>
      </c>
      <c r="V247" s="20"/>
      <c r="W247" s="16" t="s">
        <v>33</v>
      </c>
      <c r="X247" s="152" t="s">
        <v>34</v>
      </c>
      <c r="Y247" s="152" t="s">
        <v>34</v>
      </c>
      <c r="Z247" s="28" t="s">
        <v>544</v>
      </c>
    </row>
    <row r="248" spans="1:26" s="30" customFormat="1" x14ac:dyDescent="0.25">
      <c r="A248" s="16" t="s">
        <v>475</v>
      </c>
      <c r="B248" s="16" t="s">
        <v>500</v>
      </c>
      <c r="C248" s="16" t="s">
        <v>477</v>
      </c>
      <c r="D248" s="16">
        <v>7</v>
      </c>
      <c r="E248" s="16">
        <v>1</v>
      </c>
      <c r="F248" s="16" t="s">
        <v>501</v>
      </c>
      <c r="G248" s="16" t="s">
        <v>502</v>
      </c>
      <c r="H248" s="16" t="s">
        <v>85</v>
      </c>
      <c r="I248" s="16" t="s">
        <v>94</v>
      </c>
      <c r="J248" s="17">
        <v>2020</v>
      </c>
      <c r="K248" s="16" t="s">
        <v>64</v>
      </c>
      <c r="L248" s="16"/>
      <c r="M248" s="105" t="s">
        <v>32</v>
      </c>
      <c r="N248" s="18">
        <f t="shared" si="13"/>
        <v>5.7</v>
      </c>
      <c r="O248" s="20">
        <f>500*11.4/1000</f>
        <v>5.7</v>
      </c>
      <c r="P248" s="20"/>
      <c r="Q248" s="18">
        <f t="shared" si="14"/>
        <v>387.6</v>
      </c>
      <c r="R248" s="20">
        <f>34*11.4</f>
        <v>387.6</v>
      </c>
      <c r="S248" s="20"/>
      <c r="T248" s="18">
        <f t="shared" si="15"/>
        <v>387.6</v>
      </c>
      <c r="U248" s="20">
        <f>34*11.4</f>
        <v>387.6</v>
      </c>
      <c r="V248" s="20"/>
      <c r="W248" s="16" t="s">
        <v>33</v>
      </c>
      <c r="X248" s="152" t="s">
        <v>34</v>
      </c>
      <c r="Y248" s="152" t="s">
        <v>34</v>
      </c>
      <c r="Z248" s="28" t="s">
        <v>544</v>
      </c>
    </row>
    <row r="249" spans="1:26" s="30" customFormat="1" x14ac:dyDescent="0.25">
      <c r="A249" s="16" t="s">
        <v>475</v>
      </c>
      <c r="B249" s="16" t="s">
        <v>503</v>
      </c>
      <c r="C249" s="16" t="s">
        <v>477</v>
      </c>
      <c r="D249" s="16">
        <v>8</v>
      </c>
      <c r="E249" s="16">
        <v>1</v>
      </c>
      <c r="F249" s="16" t="s">
        <v>504</v>
      </c>
      <c r="G249" s="16" t="s">
        <v>505</v>
      </c>
      <c r="H249" s="16" t="s">
        <v>85</v>
      </c>
      <c r="I249" s="16" t="s">
        <v>94</v>
      </c>
      <c r="J249" s="17">
        <v>2020</v>
      </c>
      <c r="K249" s="16" t="s">
        <v>64</v>
      </c>
      <c r="L249" s="16"/>
      <c r="M249" s="16" t="s">
        <v>32</v>
      </c>
      <c r="N249" s="18">
        <f t="shared" si="13"/>
        <v>6.2130000000000001</v>
      </c>
      <c r="O249" s="20">
        <f>545*11.4/1000</f>
        <v>6.2130000000000001</v>
      </c>
      <c r="P249" s="20"/>
      <c r="Q249" s="18">
        <f t="shared" si="14"/>
        <v>0</v>
      </c>
      <c r="R249" s="20"/>
      <c r="S249" s="20"/>
      <c r="T249" s="19">
        <f t="shared" si="15"/>
        <v>0</v>
      </c>
      <c r="U249" s="20"/>
      <c r="V249" s="20"/>
      <c r="W249" s="16" t="s">
        <v>33</v>
      </c>
      <c r="X249" s="152" t="s">
        <v>34</v>
      </c>
      <c r="Y249" s="152" t="s">
        <v>34</v>
      </c>
      <c r="Z249" s="28" t="s">
        <v>544</v>
      </c>
    </row>
    <row r="250" spans="1:26" s="30" customFormat="1" x14ac:dyDescent="0.25">
      <c r="A250" s="16" t="s">
        <v>475</v>
      </c>
      <c r="B250" s="16" t="s">
        <v>506</v>
      </c>
      <c r="C250" s="16" t="s">
        <v>477</v>
      </c>
      <c r="D250" s="16">
        <v>9</v>
      </c>
      <c r="E250" s="16">
        <v>1</v>
      </c>
      <c r="F250" s="16" t="s">
        <v>507</v>
      </c>
      <c r="G250" s="16" t="s">
        <v>508</v>
      </c>
      <c r="H250" s="16" t="s">
        <v>28</v>
      </c>
      <c r="I250" s="16" t="s">
        <v>29</v>
      </c>
      <c r="J250" s="17">
        <v>2000</v>
      </c>
      <c r="K250" s="16" t="s">
        <v>30</v>
      </c>
      <c r="L250" s="16" t="s">
        <v>31</v>
      </c>
      <c r="M250" s="16" t="s">
        <v>32</v>
      </c>
      <c r="N250" s="18">
        <f t="shared" si="13"/>
        <v>0.79800000000000015</v>
      </c>
      <c r="O250" s="20">
        <f>0.07*11.4</f>
        <v>0.79800000000000015</v>
      </c>
      <c r="P250" s="20"/>
      <c r="Q250" s="18">
        <f t="shared" si="14"/>
        <v>20.52</v>
      </c>
      <c r="R250" s="20">
        <f>1.8*11.4</f>
        <v>20.52</v>
      </c>
      <c r="S250" s="20"/>
      <c r="T250" s="19">
        <f t="shared" si="15"/>
        <v>20.52</v>
      </c>
      <c r="U250" s="20">
        <f>1.8*11.4</f>
        <v>20.52</v>
      </c>
      <c r="V250" s="20"/>
      <c r="W250" s="16" t="s">
        <v>249</v>
      </c>
      <c r="X250" s="152" t="s">
        <v>34</v>
      </c>
      <c r="Y250" s="152" t="s">
        <v>34</v>
      </c>
      <c r="Z250" s="28" t="s">
        <v>544</v>
      </c>
    </row>
    <row r="251" spans="1:26" s="30" customFormat="1" x14ac:dyDescent="0.25">
      <c r="A251" s="16" t="s">
        <v>475</v>
      </c>
      <c r="B251" s="16" t="s">
        <v>509</v>
      </c>
      <c r="C251" s="16" t="s">
        <v>477</v>
      </c>
      <c r="D251" s="27">
        <v>10</v>
      </c>
      <c r="E251" s="27">
        <v>1</v>
      </c>
      <c r="F251" s="16" t="s">
        <v>510</v>
      </c>
      <c r="G251" s="16" t="s">
        <v>511</v>
      </c>
      <c r="H251" s="16" t="s">
        <v>28</v>
      </c>
      <c r="I251" s="16" t="s">
        <v>29</v>
      </c>
      <c r="J251" s="17">
        <v>2009</v>
      </c>
      <c r="K251" s="16" t="s">
        <v>64</v>
      </c>
      <c r="L251" s="16"/>
      <c r="M251" s="16" t="s">
        <v>32</v>
      </c>
      <c r="N251" s="18">
        <f t="shared" si="13"/>
        <v>2.1652</v>
      </c>
      <c r="O251" s="20">
        <v>2.1652</v>
      </c>
      <c r="P251" s="20"/>
      <c r="Q251" s="18">
        <f t="shared" si="14"/>
        <v>342</v>
      </c>
      <c r="R251" s="20">
        <v>342</v>
      </c>
      <c r="S251" s="20"/>
      <c r="T251" s="19">
        <f t="shared" si="15"/>
        <v>311</v>
      </c>
      <c r="U251" s="20">
        <v>311</v>
      </c>
      <c r="V251" s="20"/>
      <c r="W251" s="16" t="s">
        <v>249</v>
      </c>
      <c r="X251" s="152" t="s">
        <v>34</v>
      </c>
      <c r="Y251" s="152" t="s">
        <v>34</v>
      </c>
      <c r="Z251" s="28" t="s">
        <v>544</v>
      </c>
    </row>
    <row r="252" spans="1:26" s="30" customFormat="1" x14ac:dyDescent="0.25">
      <c r="A252" s="16" t="s">
        <v>475</v>
      </c>
      <c r="B252" s="16" t="s">
        <v>512</v>
      </c>
      <c r="C252" s="16" t="s">
        <v>477</v>
      </c>
      <c r="D252" s="16">
        <v>10</v>
      </c>
      <c r="E252" s="16">
        <v>3</v>
      </c>
      <c r="F252" s="16" t="s">
        <v>513</v>
      </c>
      <c r="G252" s="16" t="s">
        <v>514</v>
      </c>
      <c r="H252" s="16" t="s">
        <v>28</v>
      </c>
      <c r="I252" s="16" t="s">
        <v>29</v>
      </c>
      <c r="J252" s="17">
        <v>1979</v>
      </c>
      <c r="K252" s="16" t="s">
        <v>64</v>
      </c>
      <c r="L252" s="16"/>
      <c r="M252" s="16" t="s">
        <v>32</v>
      </c>
      <c r="N252" s="18">
        <f t="shared" si="13"/>
        <v>2.6137999999999999</v>
      </c>
      <c r="O252" s="20">
        <v>2.6137999999999999</v>
      </c>
      <c r="P252" s="20"/>
      <c r="Q252" s="18">
        <f t="shared" si="14"/>
        <v>130</v>
      </c>
      <c r="R252" s="20">
        <v>130</v>
      </c>
      <c r="S252" s="20"/>
      <c r="T252" s="19">
        <f t="shared" si="15"/>
        <v>30</v>
      </c>
      <c r="U252" s="20">
        <v>30</v>
      </c>
      <c r="V252" s="20"/>
      <c r="W252" s="16" t="s">
        <v>33</v>
      </c>
      <c r="X252" s="152" t="s">
        <v>34</v>
      </c>
      <c r="Y252" s="152" t="s">
        <v>34</v>
      </c>
      <c r="Z252" s="28" t="s">
        <v>544</v>
      </c>
    </row>
    <row r="253" spans="1:26" s="30" customFormat="1" x14ac:dyDescent="0.25">
      <c r="A253" s="16" t="s">
        <v>475</v>
      </c>
      <c r="B253" s="16" t="s">
        <v>515</v>
      </c>
      <c r="C253" s="16" t="s">
        <v>477</v>
      </c>
      <c r="D253" s="16">
        <v>11</v>
      </c>
      <c r="E253" s="16">
        <v>1</v>
      </c>
      <c r="F253" s="16" t="s">
        <v>516</v>
      </c>
      <c r="G253" s="16" t="s">
        <v>517</v>
      </c>
      <c r="H253" s="16" t="s">
        <v>28</v>
      </c>
      <c r="I253" s="16" t="s">
        <v>29</v>
      </c>
      <c r="J253" s="17">
        <v>2014</v>
      </c>
      <c r="K253" s="16" t="s">
        <v>64</v>
      </c>
      <c r="L253" s="16"/>
      <c r="M253" s="16" t="s">
        <v>32</v>
      </c>
      <c r="N253" s="18">
        <f t="shared" si="13"/>
        <v>2.4104999999999999</v>
      </c>
      <c r="O253" s="20">
        <v>2.4104999999999999</v>
      </c>
      <c r="P253" s="20"/>
      <c r="Q253" s="18">
        <f t="shared" si="14"/>
        <v>200</v>
      </c>
      <c r="R253" s="20">
        <v>200</v>
      </c>
      <c r="S253" s="20"/>
      <c r="T253" s="19">
        <f t="shared" si="15"/>
        <v>160</v>
      </c>
      <c r="U253" s="20">
        <v>160</v>
      </c>
      <c r="V253" s="20"/>
      <c r="W253" s="16" t="s">
        <v>249</v>
      </c>
      <c r="X253" s="152" t="s">
        <v>34</v>
      </c>
      <c r="Y253" s="152" t="s">
        <v>34</v>
      </c>
      <c r="Z253" s="28" t="s">
        <v>544</v>
      </c>
    </row>
    <row r="254" spans="1:26" s="30" customFormat="1" x14ac:dyDescent="0.25">
      <c r="A254" s="16" t="s">
        <v>475</v>
      </c>
      <c r="B254" s="16" t="s">
        <v>518</v>
      </c>
      <c r="C254" s="16" t="s">
        <v>477</v>
      </c>
      <c r="D254" s="16">
        <v>11</v>
      </c>
      <c r="E254" s="16">
        <v>2</v>
      </c>
      <c r="F254" s="16" t="s">
        <v>516</v>
      </c>
      <c r="G254" s="16" t="s">
        <v>517</v>
      </c>
      <c r="H254" s="16" t="s">
        <v>85</v>
      </c>
      <c r="I254" s="16" t="s">
        <v>67</v>
      </c>
      <c r="J254" s="17">
        <v>2019</v>
      </c>
      <c r="K254" s="16" t="s">
        <v>64</v>
      </c>
      <c r="L254" s="16"/>
      <c r="M254" s="16" t="s">
        <v>32</v>
      </c>
      <c r="N254" s="18">
        <f t="shared" si="13"/>
        <v>0.88949999999999996</v>
      </c>
      <c r="O254" s="20">
        <f>3.3-O253</f>
        <v>0.88949999999999996</v>
      </c>
      <c r="P254" s="20"/>
      <c r="Q254" s="18">
        <f t="shared" si="14"/>
        <v>0</v>
      </c>
      <c r="R254" s="20">
        <v>0</v>
      </c>
      <c r="S254" s="20"/>
      <c r="T254" s="19">
        <f t="shared" si="15"/>
        <v>0</v>
      </c>
      <c r="U254" s="20">
        <v>0</v>
      </c>
      <c r="V254" s="20"/>
      <c r="W254" s="106" t="s">
        <v>33</v>
      </c>
      <c r="X254" s="152" t="s">
        <v>34</v>
      </c>
      <c r="Y254" s="152" t="s">
        <v>34</v>
      </c>
      <c r="Z254" s="28" t="s">
        <v>544</v>
      </c>
    </row>
    <row r="255" spans="1:26" s="30" customFormat="1" x14ac:dyDescent="0.25">
      <c r="A255" s="16" t="str">
        <f>A253</f>
        <v>United Kingdom</v>
      </c>
      <c r="B255" s="16" t="s">
        <v>519</v>
      </c>
      <c r="C255" s="16" t="s">
        <v>477</v>
      </c>
      <c r="D255" s="16">
        <v>11</v>
      </c>
      <c r="E255" s="16">
        <v>3</v>
      </c>
      <c r="F255" s="16" t="str">
        <f>F253</f>
        <v>Storengy UK</v>
      </c>
      <c r="G255" s="16" t="str">
        <f>G253</f>
        <v>Stublach</v>
      </c>
      <c r="H255" s="16" t="s">
        <v>85</v>
      </c>
      <c r="I255" s="16" t="s">
        <v>67</v>
      </c>
      <c r="J255" s="17">
        <v>2020</v>
      </c>
      <c r="K255" s="16" t="str">
        <f>K253</f>
        <v>Salt cavern</v>
      </c>
      <c r="L255" s="16"/>
      <c r="M255" s="16" t="str">
        <f>M253</f>
        <v>Onshore</v>
      </c>
      <c r="N255" s="18">
        <f t="shared" si="13"/>
        <v>1.1000000000000005</v>
      </c>
      <c r="O255" s="20">
        <f>400*11/1000-O254-O253</f>
        <v>1.1000000000000005</v>
      </c>
      <c r="P255" s="20"/>
      <c r="Q255" s="18">
        <f t="shared" si="14"/>
        <v>130</v>
      </c>
      <c r="R255" s="20">
        <f>330-R253</f>
        <v>130</v>
      </c>
      <c r="S255" s="20"/>
      <c r="T255" s="19">
        <f t="shared" si="15"/>
        <v>170</v>
      </c>
      <c r="U255" s="20">
        <f>330-U253</f>
        <v>170</v>
      </c>
      <c r="V255" s="20"/>
      <c r="W255" s="16" t="s">
        <v>33</v>
      </c>
      <c r="X255" s="152" t="s">
        <v>34</v>
      </c>
      <c r="Y255" s="152" t="s">
        <v>34</v>
      </c>
      <c r="Z255" s="28" t="s">
        <v>544</v>
      </c>
    </row>
    <row r="256" spans="1:26" s="30" customFormat="1" x14ac:dyDescent="0.25">
      <c r="A256" s="16" t="s">
        <v>475</v>
      </c>
      <c r="B256" s="16" t="s">
        <v>520</v>
      </c>
      <c r="C256" s="16" t="s">
        <v>477</v>
      </c>
      <c r="D256" s="16">
        <v>12</v>
      </c>
      <c r="E256" s="16">
        <v>1</v>
      </c>
      <c r="F256" s="16" t="s">
        <v>57</v>
      </c>
      <c r="G256" s="16" t="s">
        <v>521</v>
      </c>
      <c r="H256" s="16" t="s">
        <v>28</v>
      </c>
      <c r="I256" s="16" t="s">
        <v>29</v>
      </c>
      <c r="J256" s="17"/>
      <c r="K256" s="16" t="s">
        <v>538</v>
      </c>
      <c r="L256" s="16"/>
      <c r="M256" s="16"/>
      <c r="N256" s="18">
        <f>O256+P256</f>
        <v>1.95</v>
      </c>
      <c r="O256" s="107">
        <v>1.95</v>
      </c>
      <c r="P256" s="20"/>
      <c r="Q256" s="18">
        <f>R256+S256</f>
        <v>238.333</v>
      </c>
      <c r="R256" s="107">
        <v>238.333</v>
      </c>
      <c r="S256" s="20"/>
      <c r="T256" s="19">
        <f>U256+V256</f>
        <v>238.333</v>
      </c>
      <c r="U256" s="107">
        <v>238.333</v>
      </c>
      <c r="V256" s="20"/>
      <c r="W256" s="16"/>
      <c r="X256" s="152" t="s">
        <v>34</v>
      </c>
      <c r="Y256" s="152" t="s">
        <v>34</v>
      </c>
      <c r="Z256" s="28" t="s">
        <v>544</v>
      </c>
    </row>
    <row r="257" spans="1:18" x14ac:dyDescent="0.25">
      <c r="G257" s="1"/>
      <c r="H257" s="1"/>
      <c r="I257" s="1"/>
      <c r="O257" s="8"/>
      <c r="R257" s="36"/>
    </row>
    <row r="258" spans="1:18" x14ac:dyDescent="0.25">
      <c r="A258" s="39" t="s">
        <v>522</v>
      </c>
    </row>
    <row r="259" spans="1:18" x14ac:dyDescent="0.25">
      <c r="A259" s="38" t="s">
        <v>523</v>
      </c>
    </row>
    <row r="260" spans="1:18" x14ac:dyDescent="0.25">
      <c r="A260" s="40" t="s">
        <v>524</v>
      </c>
    </row>
    <row r="261" spans="1:18" ht="17.25" x14ac:dyDescent="0.25">
      <c r="A261" s="38" t="s">
        <v>525</v>
      </c>
      <c r="B261" s="41" t="s">
        <v>526</v>
      </c>
      <c r="C261" s="1" t="s">
        <v>527</v>
      </c>
      <c r="D261" s="41"/>
      <c r="E261" s="41"/>
    </row>
    <row r="262" spans="1:18" ht="17.25" x14ac:dyDescent="0.25">
      <c r="A262" s="38" t="s">
        <v>528</v>
      </c>
      <c r="B262" s="3">
        <v>10.8</v>
      </c>
      <c r="C262" s="1" t="s">
        <v>527</v>
      </c>
      <c r="D262" s="3"/>
      <c r="E262" s="3"/>
    </row>
    <row r="263" spans="1:18" ht="17.25" x14ac:dyDescent="0.25">
      <c r="A263" s="38" t="s">
        <v>529</v>
      </c>
      <c r="B263" s="3">
        <v>10.07</v>
      </c>
      <c r="C263" s="1" t="s">
        <v>527</v>
      </c>
      <c r="D263" s="3"/>
      <c r="E263" s="3"/>
    </row>
    <row r="264" spans="1:18" x14ac:dyDescent="0.25">
      <c r="B264" s="3"/>
      <c r="C264" s="3"/>
      <c r="D264" s="3"/>
      <c r="E264" s="3"/>
    </row>
  </sheetData>
  <autoFilter ref="A2:Z256" xr:uid="{A4E4B02F-FBC4-48FE-9A4D-1AED332ABA15}"/>
  <mergeCells count="1"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B0ED-0B25-4AB4-950E-AB50BD95178D}">
  <dimension ref="A1:L22"/>
  <sheetViews>
    <sheetView showGridLines="0" workbookViewId="0">
      <selection activeCell="L10" sqref="L10"/>
    </sheetView>
  </sheetViews>
  <sheetFormatPr defaultRowHeight="15" x14ac:dyDescent="0.25"/>
  <cols>
    <col min="1" max="1" width="20" bestFit="1" customWidth="1"/>
    <col min="2" max="9" width="8.7109375" customWidth="1"/>
    <col min="12" max="12" width="9.5703125" bestFit="1" customWidth="1"/>
  </cols>
  <sheetData>
    <row r="1" spans="1:12" x14ac:dyDescent="0.25">
      <c r="A1" s="150" t="s">
        <v>553</v>
      </c>
      <c r="B1" s="165" t="s">
        <v>28</v>
      </c>
      <c r="C1" s="166"/>
      <c r="D1" s="169" t="s">
        <v>66</v>
      </c>
      <c r="E1" s="170" t="s">
        <v>66</v>
      </c>
      <c r="F1" s="167" t="s">
        <v>85</v>
      </c>
      <c r="G1" s="168"/>
      <c r="H1" s="171" t="s">
        <v>536</v>
      </c>
      <c r="I1" s="172" t="s">
        <v>536</v>
      </c>
    </row>
    <row r="2" spans="1:12" x14ac:dyDescent="0.25">
      <c r="A2" s="37"/>
      <c r="B2" s="77" t="s">
        <v>554</v>
      </c>
      <c r="C2" s="78" t="s">
        <v>555</v>
      </c>
      <c r="D2" s="77" t="s">
        <v>554</v>
      </c>
      <c r="E2" s="78" t="s">
        <v>555</v>
      </c>
      <c r="F2" s="70" t="s">
        <v>554</v>
      </c>
      <c r="G2" s="78" t="s">
        <v>555</v>
      </c>
      <c r="H2" s="70" t="s">
        <v>554</v>
      </c>
      <c r="I2" s="139" t="s">
        <v>555</v>
      </c>
    </row>
    <row r="3" spans="1:12" x14ac:dyDescent="0.25">
      <c r="A3" s="72" t="s">
        <v>70</v>
      </c>
      <c r="B3" s="79">
        <v>171.03299999999999</v>
      </c>
      <c r="C3" s="80">
        <v>24</v>
      </c>
      <c r="D3" s="73"/>
      <c r="E3" s="80"/>
      <c r="F3" s="73"/>
      <c r="G3" s="80"/>
      <c r="H3" s="73">
        <f t="shared" ref="H3:I7" si="0">B3+D3+F3</f>
        <v>171.03299999999999</v>
      </c>
      <c r="I3" s="140">
        <f t="shared" si="0"/>
        <v>24</v>
      </c>
      <c r="L3" s="151"/>
    </row>
    <row r="4" spans="1:12" x14ac:dyDescent="0.25">
      <c r="A4" s="75" t="s">
        <v>102</v>
      </c>
      <c r="B4" s="81">
        <v>52.201999999999998</v>
      </c>
      <c r="C4" s="82">
        <v>1</v>
      </c>
      <c r="D4" s="76"/>
      <c r="E4" s="82"/>
      <c r="F4" s="76"/>
      <c r="G4" s="82"/>
      <c r="H4" s="76">
        <f t="shared" si="0"/>
        <v>52.201999999999998</v>
      </c>
      <c r="I4" s="141">
        <f t="shared" si="0"/>
        <v>1</v>
      </c>
    </row>
    <row r="5" spans="1:12" x14ac:dyDescent="0.25">
      <c r="A5" s="72" t="s">
        <v>30</v>
      </c>
      <c r="B5" s="79">
        <v>726.43778145859005</v>
      </c>
      <c r="C5" s="80">
        <v>73</v>
      </c>
      <c r="D5" s="73">
        <v>36.524549713145426</v>
      </c>
      <c r="E5" s="80">
        <v>10</v>
      </c>
      <c r="F5" s="73">
        <v>72.775484000000006</v>
      </c>
      <c r="G5" s="80">
        <v>20</v>
      </c>
      <c r="H5" s="73">
        <f t="shared" si="0"/>
        <v>835.73781517173552</v>
      </c>
      <c r="I5" s="142">
        <f t="shared" si="0"/>
        <v>103</v>
      </c>
    </row>
    <row r="6" spans="1:12" x14ac:dyDescent="0.25">
      <c r="A6" s="75" t="s">
        <v>103</v>
      </c>
      <c r="B6" s="81">
        <v>9.7000000000000003E-2</v>
      </c>
      <c r="C6" s="82">
        <v>1</v>
      </c>
      <c r="D6" s="76"/>
      <c r="E6" s="82"/>
      <c r="F6" s="76"/>
      <c r="G6" s="82"/>
      <c r="H6" s="76">
        <f t="shared" si="0"/>
        <v>9.7000000000000003E-2</v>
      </c>
      <c r="I6" s="141">
        <f t="shared" si="0"/>
        <v>1</v>
      </c>
    </row>
    <row r="7" spans="1:12" x14ac:dyDescent="0.25">
      <c r="A7" s="72" t="s">
        <v>64</v>
      </c>
      <c r="B7" s="79">
        <v>181.58699999999999</v>
      </c>
      <c r="C7" s="80">
        <v>57</v>
      </c>
      <c r="D7" s="73">
        <v>0.37619999999999998</v>
      </c>
      <c r="E7" s="80">
        <v>3</v>
      </c>
      <c r="F7" s="73">
        <v>67.1755</v>
      </c>
      <c r="G7" s="80">
        <v>16</v>
      </c>
      <c r="H7" s="73">
        <f t="shared" si="0"/>
        <v>249.1387</v>
      </c>
      <c r="I7" s="142">
        <f t="shared" si="0"/>
        <v>76</v>
      </c>
    </row>
    <row r="8" spans="1:12" x14ac:dyDescent="0.25">
      <c r="A8" s="64" t="s">
        <v>546</v>
      </c>
      <c r="B8" s="83">
        <f>SUM(B3:B7)</f>
        <v>1131.3567814585899</v>
      </c>
      <c r="C8" s="123">
        <f t="shared" ref="C8:I8" si="1">SUM(C3:C7)</f>
        <v>156</v>
      </c>
      <c r="D8" s="83">
        <f t="shared" si="1"/>
        <v>36.900749713145423</v>
      </c>
      <c r="E8" s="123">
        <f t="shared" si="1"/>
        <v>13</v>
      </c>
      <c r="F8" s="83">
        <f t="shared" si="1"/>
        <v>139.95098400000001</v>
      </c>
      <c r="G8" s="123">
        <f t="shared" si="1"/>
        <v>36</v>
      </c>
      <c r="H8" s="83">
        <f t="shared" si="1"/>
        <v>1308.2085151717354</v>
      </c>
      <c r="I8" s="143">
        <f t="shared" si="1"/>
        <v>205</v>
      </c>
    </row>
    <row r="9" spans="1:12" x14ac:dyDescent="0.25">
      <c r="A9" s="92"/>
      <c r="B9" s="93"/>
      <c r="C9" s="94"/>
      <c r="D9" s="95"/>
      <c r="E9" s="94"/>
      <c r="F9" s="95"/>
      <c r="G9" s="96"/>
      <c r="H9" s="95"/>
      <c r="I9" s="144"/>
    </row>
    <row r="10" spans="1:12" x14ac:dyDescent="0.25">
      <c r="A10" s="72" t="s">
        <v>70</v>
      </c>
      <c r="B10" s="79">
        <v>43.420792140000003</v>
      </c>
      <c r="C10" s="80">
        <v>5</v>
      </c>
      <c r="D10" s="73"/>
      <c r="E10" s="80"/>
      <c r="F10" s="73"/>
      <c r="G10" s="80"/>
      <c r="H10" s="73">
        <v>43.420792140000003</v>
      </c>
      <c r="I10" s="140">
        <v>5</v>
      </c>
    </row>
    <row r="11" spans="1:12" x14ac:dyDescent="0.25">
      <c r="A11" s="75" t="s">
        <v>102</v>
      </c>
      <c r="B11" s="81"/>
      <c r="C11" s="82"/>
      <c r="D11" s="76"/>
      <c r="E11" s="82"/>
      <c r="F11" s="76"/>
      <c r="G11" s="82"/>
      <c r="H11" s="76"/>
      <c r="I11" s="141"/>
    </row>
    <row r="12" spans="1:12" x14ac:dyDescent="0.25">
      <c r="A12" s="72" t="s">
        <v>30</v>
      </c>
      <c r="B12" s="79">
        <v>354.14447709228909</v>
      </c>
      <c r="C12" s="80">
        <v>15</v>
      </c>
      <c r="D12" s="73"/>
      <c r="E12" s="80"/>
      <c r="F12" s="73">
        <v>5.5385</v>
      </c>
      <c r="G12" s="80">
        <v>3</v>
      </c>
      <c r="H12" s="73">
        <v>359.68297709228909</v>
      </c>
      <c r="I12" s="140">
        <v>18</v>
      </c>
    </row>
    <row r="13" spans="1:12" x14ac:dyDescent="0.25">
      <c r="A13" s="75" t="s">
        <v>103</v>
      </c>
      <c r="B13" s="81"/>
      <c r="C13" s="82"/>
      <c r="D13" s="76"/>
      <c r="E13" s="82"/>
      <c r="F13" s="76"/>
      <c r="G13" s="82"/>
      <c r="H13" s="76"/>
      <c r="I13" s="141"/>
    </row>
    <row r="14" spans="1:12" x14ac:dyDescent="0.25">
      <c r="A14" s="72" t="s">
        <v>64</v>
      </c>
      <c r="B14" s="79">
        <v>14.652799999999999</v>
      </c>
      <c r="C14" s="80">
        <v>3</v>
      </c>
      <c r="D14" s="73">
        <v>5.5149999999999997</v>
      </c>
      <c r="E14" s="80">
        <v>1</v>
      </c>
      <c r="F14" s="73">
        <v>100.89000000000001</v>
      </c>
      <c r="G14" s="80">
        <v>3</v>
      </c>
      <c r="H14" s="73">
        <v>121.05780000000001</v>
      </c>
      <c r="I14" s="140">
        <v>7</v>
      </c>
    </row>
    <row r="15" spans="1:12" x14ac:dyDescent="0.25">
      <c r="A15" s="64" t="s">
        <v>556</v>
      </c>
      <c r="B15" s="83">
        <v>412.21806923228911</v>
      </c>
      <c r="C15" s="84">
        <v>23</v>
      </c>
      <c r="D15" s="66">
        <v>5.5149999999999997</v>
      </c>
      <c r="E15" s="84">
        <v>1</v>
      </c>
      <c r="F15" s="66">
        <v>106.42850000000001</v>
      </c>
      <c r="G15" s="84">
        <v>6</v>
      </c>
      <c r="H15" s="66">
        <v>524.16156923228914</v>
      </c>
      <c r="I15" s="145">
        <v>30</v>
      </c>
    </row>
    <row r="16" spans="1:12" x14ac:dyDescent="0.25">
      <c r="A16" s="74"/>
      <c r="B16" s="85"/>
      <c r="C16" s="86"/>
      <c r="D16" s="74"/>
      <c r="E16" s="86"/>
      <c r="F16" s="74"/>
      <c r="G16" s="86"/>
      <c r="H16" s="74"/>
      <c r="I16" s="146"/>
    </row>
    <row r="17" spans="1:10" x14ac:dyDescent="0.25">
      <c r="A17" s="97" t="s">
        <v>70</v>
      </c>
      <c r="B17" s="98">
        <f>B3+B10</f>
        <v>214.45379213999999</v>
      </c>
      <c r="C17" s="99">
        <f t="shared" ref="C17:I17" si="2">C3+C10</f>
        <v>29</v>
      </c>
      <c r="D17" s="100"/>
      <c r="E17" s="99"/>
      <c r="F17" s="100">
        <f t="shared" si="2"/>
        <v>0</v>
      </c>
      <c r="G17" s="99">
        <f t="shared" si="2"/>
        <v>0</v>
      </c>
      <c r="H17" s="100">
        <f t="shared" si="2"/>
        <v>214.45379213999999</v>
      </c>
      <c r="I17" s="147">
        <f t="shared" si="2"/>
        <v>29</v>
      </c>
      <c r="J17" s="74"/>
    </row>
    <row r="18" spans="1:10" x14ac:dyDescent="0.25">
      <c r="A18" s="75" t="s">
        <v>102</v>
      </c>
      <c r="B18" s="81"/>
      <c r="C18" s="82">
        <f>C4+C11</f>
        <v>1</v>
      </c>
      <c r="D18" s="76"/>
      <c r="E18" s="82"/>
      <c r="F18" s="76"/>
      <c r="G18" s="82"/>
      <c r="H18" s="76"/>
      <c r="I18" s="141">
        <f>I4+I11</f>
        <v>1</v>
      </c>
    </row>
    <row r="19" spans="1:10" x14ac:dyDescent="0.25">
      <c r="A19" s="72" t="s">
        <v>30</v>
      </c>
      <c r="B19" s="79">
        <f t="shared" ref="B19:I19" si="3">B5+B12</f>
        <v>1080.582258550879</v>
      </c>
      <c r="C19" s="87">
        <f t="shared" si="3"/>
        <v>88</v>
      </c>
      <c r="D19" s="73">
        <f t="shared" si="3"/>
        <v>36.524549713145426</v>
      </c>
      <c r="E19" s="87">
        <f t="shared" si="3"/>
        <v>10</v>
      </c>
      <c r="F19" s="73">
        <f t="shared" si="3"/>
        <v>78.313984000000005</v>
      </c>
      <c r="G19" s="87">
        <f t="shared" si="3"/>
        <v>23</v>
      </c>
      <c r="H19" s="73">
        <f t="shared" si="3"/>
        <v>1195.4207922640246</v>
      </c>
      <c r="I19" s="148">
        <f t="shared" si="3"/>
        <v>121</v>
      </c>
    </row>
    <row r="20" spans="1:10" x14ac:dyDescent="0.25">
      <c r="A20" s="75" t="s">
        <v>103</v>
      </c>
      <c r="B20" s="81">
        <f t="shared" ref="B20:I20" si="4">B6+B13</f>
        <v>9.7000000000000003E-2</v>
      </c>
      <c r="C20" s="82">
        <f t="shared" si="4"/>
        <v>1</v>
      </c>
      <c r="D20" s="76"/>
      <c r="E20" s="82"/>
      <c r="F20" s="76"/>
      <c r="G20" s="82"/>
      <c r="H20" s="76">
        <f t="shared" si="4"/>
        <v>9.7000000000000003E-2</v>
      </c>
      <c r="I20" s="141">
        <f t="shared" si="4"/>
        <v>1</v>
      </c>
    </row>
    <row r="21" spans="1:10" x14ac:dyDescent="0.25">
      <c r="A21" s="72" t="s">
        <v>64</v>
      </c>
      <c r="B21" s="79">
        <f t="shared" ref="B21:I21" si="5">B7+B14</f>
        <v>196.2398</v>
      </c>
      <c r="C21" s="87">
        <f t="shared" si="5"/>
        <v>60</v>
      </c>
      <c r="D21" s="73">
        <f t="shared" si="5"/>
        <v>5.8911999999999995</v>
      </c>
      <c r="E21" s="87">
        <f t="shared" si="5"/>
        <v>4</v>
      </c>
      <c r="F21" s="73">
        <f t="shared" si="5"/>
        <v>168.06550000000001</v>
      </c>
      <c r="G21" s="87">
        <f t="shared" si="5"/>
        <v>19</v>
      </c>
      <c r="H21" s="73">
        <f t="shared" si="5"/>
        <v>370.19650000000001</v>
      </c>
      <c r="I21" s="148">
        <f t="shared" si="5"/>
        <v>83</v>
      </c>
    </row>
    <row r="22" spans="1:10" x14ac:dyDescent="0.25">
      <c r="A22" s="91" t="s">
        <v>548</v>
      </c>
      <c r="B22" s="88">
        <f t="shared" ref="B22:I22" si="6">B8+B15</f>
        <v>1543.574850690879</v>
      </c>
      <c r="C22" s="89">
        <f t="shared" si="6"/>
        <v>179</v>
      </c>
      <c r="D22" s="88">
        <f t="shared" si="6"/>
        <v>42.415749713145424</v>
      </c>
      <c r="E22" s="89">
        <f t="shared" si="6"/>
        <v>14</v>
      </c>
      <c r="F22" s="90">
        <f t="shared" si="6"/>
        <v>246.37948400000002</v>
      </c>
      <c r="G22" s="89">
        <f t="shared" si="6"/>
        <v>42</v>
      </c>
      <c r="H22" s="90">
        <f t="shared" si="6"/>
        <v>1832.3700844040245</v>
      </c>
      <c r="I22" s="149">
        <f t="shared" si="6"/>
        <v>235</v>
      </c>
    </row>
  </sheetData>
  <mergeCells count="4">
    <mergeCell ref="B1:C1"/>
    <mergeCell ref="F1:G1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FF34-4B47-4BF6-9199-6962341991A0}">
  <dimension ref="A1:G32"/>
  <sheetViews>
    <sheetView showGridLines="0" workbookViewId="0">
      <selection activeCell="I25" sqref="I25"/>
    </sheetView>
  </sheetViews>
  <sheetFormatPr defaultRowHeight="15" x14ac:dyDescent="0.25"/>
  <cols>
    <col min="1" max="1" width="46.28515625" bestFit="1" customWidth="1"/>
    <col min="2" max="4" width="12.42578125" bestFit="1" customWidth="1"/>
    <col min="5" max="5" width="14.42578125" bestFit="1" customWidth="1"/>
    <col min="6" max="6" width="11.5703125" bestFit="1" customWidth="1"/>
    <col min="7" max="7" width="12.5703125" bestFit="1" customWidth="1"/>
  </cols>
  <sheetData>
    <row r="1" spans="1:7" x14ac:dyDescent="0.25">
      <c r="A1" s="56" t="s">
        <v>532</v>
      </c>
      <c r="B1" s="48"/>
      <c r="E1" s="48"/>
      <c r="F1" s="48"/>
    </row>
    <row r="2" spans="1:7" x14ac:dyDescent="0.25">
      <c r="A2" s="56" t="s">
        <v>533</v>
      </c>
      <c r="B2" s="48"/>
      <c r="E2" s="48"/>
      <c r="F2" s="48"/>
    </row>
    <row r="3" spans="1:7" ht="15.75" thickBot="1" x14ac:dyDescent="0.3"/>
    <row r="4" spans="1:7" ht="15.75" thickBot="1" x14ac:dyDescent="0.3">
      <c r="A4" s="120" t="s">
        <v>0</v>
      </c>
      <c r="B4" s="121" t="s">
        <v>70</v>
      </c>
      <c r="C4" s="121" t="s">
        <v>103</v>
      </c>
      <c r="D4" s="121" t="s">
        <v>64</v>
      </c>
      <c r="E4" s="121" t="s">
        <v>30</v>
      </c>
      <c r="F4" s="121" t="s">
        <v>102</v>
      </c>
      <c r="G4" s="122" t="s">
        <v>559</v>
      </c>
    </row>
    <row r="5" spans="1:7" x14ac:dyDescent="0.25">
      <c r="A5" s="117" t="s">
        <v>23</v>
      </c>
      <c r="B5" s="118"/>
      <c r="C5" s="118"/>
      <c r="D5" s="118"/>
      <c r="E5" s="118">
        <v>92.218499999999977</v>
      </c>
      <c r="F5" s="118"/>
      <c r="G5" s="119">
        <f>SUM(B5:F5)</f>
        <v>92.218499999999977</v>
      </c>
    </row>
    <row r="6" spans="1:7" x14ac:dyDescent="0.25">
      <c r="A6" s="57" t="s">
        <v>73</v>
      </c>
      <c r="B6" s="62">
        <v>9.0013000000000005</v>
      </c>
      <c r="C6" s="62"/>
      <c r="D6" s="62"/>
      <c r="E6" s="62"/>
      <c r="F6" s="62"/>
      <c r="G6" s="63">
        <f t="shared" ref="G6:G30" si="0">SUM(B6:F6)</f>
        <v>9.0013000000000005</v>
      </c>
    </row>
    <row r="7" spans="1:7" x14ac:dyDescent="0.25">
      <c r="A7" s="57" t="s">
        <v>79</v>
      </c>
      <c r="B7" s="62"/>
      <c r="C7" s="62"/>
      <c r="D7" s="62"/>
      <c r="E7" s="62">
        <v>17.689999999999998</v>
      </c>
      <c r="F7" s="62"/>
      <c r="G7" s="63">
        <f t="shared" si="0"/>
        <v>17.689999999999998</v>
      </c>
    </row>
    <row r="8" spans="1:7" x14ac:dyDescent="0.25">
      <c r="A8" s="57" t="s">
        <v>86</v>
      </c>
      <c r="B8" s="62"/>
      <c r="C8" s="62"/>
      <c r="D8" s="62"/>
      <c r="E8" s="62">
        <v>6.4148999999999994</v>
      </c>
      <c r="F8" s="62"/>
      <c r="G8" s="63">
        <f t="shared" si="0"/>
        <v>6.4148999999999994</v>
      </c>
    </row>
    <row r="9" spans="1:7" x14ac:dyDescent="0.25">
      <c r="A9" s="57" t="s">
        <v>95</v>
      </c>
      <c r="B9" s="62"/>
      <c r="C9" s="62"/>
      <c r="D9" s="62"/>
      <c r="E9" s="62">
        <v>13.868090047393366</v>
      </c>
      <c r="F9" s="62">
        <v>28.714600000000001</v>
      </c>
      <c r="G9" s="63">
        <f t="shared" si="0"/>
        <v>42.58269004739337</v>
      </c>
    </row>
    <row r="10" spans="1:7" x14ac:dyDescent="0.25">
      <c r="A10" s="57" t="s">
        <v>127</v>
      </c>
      <c r="B10" s="62">
        <v>10.347</v>
      </c>
      <c r="C10" s="62"/>
      <c r="D10" s="62"/>
      <c r="E10" s="62"/>
      <c r="F10" s="62"/>
      <c r="G10" s="63">
        <f t="shared" si="0"/>
        <v>10.347</v>
      </c>
    </row>
    <row r="11" spans="1:7" x14ac:dyDescent="0.25">
      <c r="A11" s="57" t="s">
        <v>136</v>
      </c>
      <c r="B11" s="62">
        <v>120.91240000000002</v>
      </c>
      <c r="C11" s="62"/>
      <c r="D11" s="62">
        <v>16.299999999999997</v>
      </c>
      <c r="E11" s="62"/>
      <c r="F11" s="62"/>
      <c r="G11" s="63">
        <f t="shared" si="0"/>
        <v>137.2124</v>
      </c>
    </row>
    <row r="12" spans="1:7" x14ac:dyDescent="0.25">
      <c r="A12" s="57" t="s">
        <v>189</v>
      </c>
      <c r="B12" s="62">
        <v>4.333170086</v>
      </c>
      <c r="C12" s="62"/>
      <c r="D12" s="62">
        <v>152.05873229949998</v>
      </c>
      <c r="E12" s="62">
        <v>90.151849999999982</v>
      </c>
      <c r="F12" s="62">
        <v>23.487400000000001</v>
      </c>
      <c r="G12" s="63">
        <f t="shared" si="0"/>
        <v>270.03115238549992</v>
      </c>
    </row>
    <row r="13" spans="1:7" x14ac:dyDescent="0.25">
      <c r="A13" s="57" t="s">
        <v>278</v>
      </c>
      <c r="B13" s="62"/>
      <c r="C13" s="62"/>
      <c r="D13" s="62"/>
      <c r="E13" s="62">
        <v>3.8605</v>
      </c>
      <c r="F13" s="62"/>
      <c r="G13" s="63">
        <f t="shared" si="0"/>
        <v>3.8605</v>
      </c>
    </row>
    <row r="14" spans="1:7" x14ac:dyDescent="0.25">
      <c r="A14" s="57" t="s">
        <v>282</v>
      </c>
      <c r="B14" s="62"/>
      <c r="C14" s="62"/>
      <c r="D14" s="62"/>
      <c r="E14" s="62">
        <v>67.513899999999992</v>
      </c>
      <c r="F14" s="62"/>
      <c r="G14" s="63">
        <f t="shared" si="0"/>
        <v>67.513899999999992</v>
      </c>
    </row>
    <row r="15" spans="1:7" x14ac:dyDescent="0.25">
      <c r="A15" s="57" t="s">
        <v>293</v>
      </c>
      <c r="B15" s="62"/>
      <c r="C15" s="62"/>
      <c r="D15" s="62"/>
      <c r="E15" s="62">
        <v>268.54002544736841</v>
      </c>
      <c r="F15" s="62"/>
      <c r="G15" s="63">
        <f t="shared" si="0"/>
        <v>268.54002544736841</v>
      </c>
    </row>
    <row r="16" spans="1:7" x14ac:dyDescent="0.25">
      <c r="A16" s="57" t="s">
        <v>323</v>
      </c>
      <c r="B16" s="62">
        <v>24.15</v>
      </c>
      <c r="C16" s="62"/>
      <c r="D16" s="62"/>
      <c r="E16" s="62"/>
      <c r="F16" s="62"/>
      <c r="G16" s="63">
        <f t="shared" si="0"/>
        <v>24.15</v>
      </c>
    </row>
    <row r="17" spans="1:7" x14ac:dyDescent="0.25">
      <c r="A17" s="57" t="s">
        <v>326</v>
      </c>
      <c r="B17" s="62"/>
      <c r="C17" s="62"/>
      <c r="D17" s="62">
        <v>3.8578000000000001</v>
      </c>
      <c r="E17" s="62">
        <f>126.9775-0.0514</f>
        <v>126.92610000000001</v>
      </c>
      <c r="F17" s="62"/>
      <c r="G17" s="63">
        <f t="shared" si="0"/>
        <v>130.78390000000002</v>
      </c>
    </row>
    <row r="18" spans="1:7" x14ac:dyDescent="0.25">
      <c r="A18" s="57" t="s">
        <v>338</v>
      </c>
      <c r="B18" s="62"/>
      <c r="C18" s="62"/>
      <c r="D18" s="62">
        <v>17.193200000000001</v>
      </c>
      <c r="E18" s="62">
        <v>29.325499887499998</v>
      </c>
      <c r="F18" s="62"/>
      <c r="G18" s="63">
        <f t="shared" si="0"/>
        <v>46.518699887499999</v>
      </c>
    </row>
    <row r="19" spans="1:7" x14ac:dyDescent="0.25">
      <c r="A19" s="57" t="s">
        <v>354</v>
      </c>
      <c r="B19" s="62"/>
      <c r="C19" s="62"/>
      <c r="D19" s="62">
        <v>3.57</v>
      </c>
      <c r="E19" s="62"/>
      <c r="F19" s="62"/>
      <c r="G19" s="63">
        <f t="shared" si="0"/>
        <v>3.57</v>
      </c>
    </row>
    <row r="20" spans="1:7" x14ac:dyDescent="0.25">
      <c r="A20" s="57" t="s">
        <v>361</v>
      </c>
      <c r="B20" s="62"/>
      <c r="C20" s="62"/>
      <c r="D20" s="62"/>
      <c r="E20" s="62">
        <v>46.132150000000003</v>
      </c>
      <c r="F20" s="62"/>
      <c r="G20" s="63">
        <f t="shared" si="0"/>
        <v>46.132150000000003</v>
      </c>
    </row>
    <row r="21" spans="1:7" x14ac:dyDescent="0.25">
      <c r="A21" s="57" t="s">
        <v>402</v>
      </c>
      <c r="B21" s="62"/>
      <c r="C21" s="62"/>
      <c r="D21" s="62"/>
      <c r="E21" s="62">
        <v>39.193300000000001</v>
      </c>
      <c r="F21" s="62"/>
      <c r="G21" s="63">
        <f t="shared" si="0"/>
        <v>39.193300000000001</v>
      </c>
    </row>
    <row r="22" spans="1:7" x14ac:dyDescent="0.25">
      <c r="A22" s="57" t="s">
        <v>413</v>
      </c>
      <c r="B22" s="62">
        <v>2.29</v>
      </c>
      <c r="C22" s="62"/>
      <c r="D22" s="62"/>
      <c r="E22" s="62">
        <v>29.685000000000002</v>
      </c>
      <c r="F22" s="62"/>
      <c r="G22" s="63">
        <f t="shared" si="0"/>
        <v>31.975000000000001</v>
      </c>
    </row>
    <row r="23" spans="1:7" x14ac:dyDescent="0.25">
      <c r="A23" s="57" t="s">
        <v>428</v>
      </c>
      <c r="B23" s="62"/>
      <c r="C23" s="62">
        <v>9.7000000000000003E-2</v>
      </c>
      <c r="D23" s="62"/>
      <c r="E23" s="62"/>
      <c r="F23" s="62"/>
      <c r="G23" s="63">
        <f t="shared" si="0"/>
        <v>9.7000000000000003E-2</v>
      </c>
    </row>
    <row r="24" spans="1:7" x14ac:dyDescent="0.25">
      <c r="A24" s="57" t="s">
        <v>475</v>
      </c>
      <c r="B24" s="62"/>
      <c r="C24" s="62"/>
      <c r="D24" s="62">
        <v>56.158999999999992</v>
      </c>
      <c r="E24" s="62">
        <v>4.218</v>
      </c>
      <c r="F24" s="62"/>
      <c r="G24" s="63">
        <f t="shared" si="0"/>
        <v>60.376999999999995</v>
      </c>
    </row>
    <row r="25" spans="1:7" ht="15.75" thickBot="1" x14ac:dyDescent="0.3">
      <c r="A25" s="58" t="s">
        <v>546</v>
      </c>
      <c r="B25" s="59">
        <f t="shared" ref="B25:G25" si="1">SUM(B5:B24)</f>
        <v>171.03387008600001</v>
      </c>
      <c r="C25" s="59">
        <f t="shared" si="1"/>
        <v>9.7000000000000003E-2</v>
      </c>
      <c r="D25" s="59">
        <f t="shared" si="1"/>
        <v>249.13873229949996</v>
      </c>
      <c r="E25" s="59">
        <f t="shared" si="1"/>
        <v>835.73781538226183</v>
      </c>
      <c r="F25" s="59">
        <f t="shared" si="1"/>
        <v>52.201999999999998</v>
      </c>
      <c r="G25" s="60">
        <f t="shared" si="1"/>
        <v>1308.2094177677611</v>
      </c>
    </row>
    <row r="26" spans="1:7" x14ac:dyDescent="0.25">
      <c r="A26" s="57" t="s">
        <v>59</v>
      </c>
      <c r="B26" s="61">
        <v>3.3090000000000002</v>
      </c>
      <c r="C26" s="61"/>
      <c r="D26" s="61">
        <v>11.03</v>
      </c>
      <c r="E26" s="61">
        <v>6.6180000000000003</v>
      </c>
      <c r="F26" s="61"/>
      <c r="G26" s="63">
        <f t="shared" si="0"/>
        <v>20.957000000000001</v>
      </c>
    </row>
    <row r="27" spans="1:7" x14ac:dyDescent="0.25">
      <c r="A27" s="57" t="s">
        <v>547</v>
      </c>
      <c r="B27" s="61">
        <v>20.956999999999997</v>
      </c>
      <c r="C27" s="61"/>
      <c r="D27" s="61">
        <v>2.8677999999999999</v>
      </c>
      <c r="E27" s="61"/>
      <c r="F27" s="61"/>
      <c r="G27" s="63">
        <f t="shared" si="0"/>
        <v>23.824799999999996</v>
      </c>
    </row>
    <row r="28" spans="1:7" x14ac:dyDescent="0.25">
      <c r="A28" s="57" t="s">
        <v>395</v>
      </c>
      <c r="B28" s="61"/>
      <c r="C28" s="61"/>
      <c r="D28" s="61"/>
      <c r="E28" s="61">
        <v>10.07</v>
      </c>
      <c r="F28" s="61"/>
      <c r="G28" s="63">
        <f t="shared" si="0"/>
        <v>10.07</v>
      </c>
    </row>
    <row r="29" spans="1:7" x14ac:dyDescent="0.25">
      <c r="A29" s="57" t="s">
        <v>433</v>
      </c>
      <c r="B29" s="61"/>
      <c r="C29" s="61"/>
      <c r="D29" s="61">
        <v>107.16000000000001</v>
      </c>
      <c r="E29" s="61">
        <v>28.753933649289102</v>
      </c>
      <c r="F29" s="61"/>
      <c r="G29" s="63">
        <f t="shared" si="0"/>
        <v>135.91393364928911</v>
      </c>
    </row>
    <row r="30" spans="1:7" x14ac:dyDescent="0.25">
      <c r="A30" s="57" t="s">
        <v>448</v>
      </c>
      <c r="B30" s="61">
        <v>19.154792139999998</v>
      </c>
      <c r="C30" s="61"/>
      <c r="D30" s="61"/>
      <c r="E30" s="61">
        <v>314.24104344300002</v>
      </c>
      <c r="F30" s="61"/>
      <c r="G30" s="63">
        <f t="shared" si="0"/>
        <v>333.39583558300001</v>
      </c>
    </row>
    <row r="31" spans="1:7" ht="15.75" thickBot="1" x14ac:dyDescent="0.3">
      <c r="A31" s="58" t="s">
        <v>549</v>
      </c>
      <c r="B31" s="59">
        <f t="shared" ref="B31:G31" si="2">SUM(B26:B30)</f>
        <v>43.420792139999996</v>
      </c>
      <c r="C31" s="59">
        <f t="shared" si="2"/>
        <v>0</v>
      </c>
      <c r="D31" s="59">
        <f t="shared" si="2"/>
        <v>121.05780000000001</v>
      </c>
      <c r="E31" s="59">
        <f t="shared" si="2"/>
        <v>359.68297709228915</v>
      </c>
      <c r="F31" s="59">
        <f t="shared" si="2"/>
        <v>0</v>
      </c>
      <c r="G31" s="60">
        <f t="shared" si="2"/>
        <v>524.16156923228914</v>
      </c>
    </row>
    <row r="32" spans="1:7" ht="15.75" thickBot="1" x14ac:dyDescent="0.3">
      <c r="A32" s="58" t="s">
        <v>550</v>
      </c>
      <c r="B32" s="59">
        <f t="shared" ref="B32:G32" si="3">B31+B25</f>
        <v>214.45466222600001</v>
      </c>
      <c r="C32" s="59">
        <f t="shared" si="3"/>
        <v>9.7000000000000003E-2</v>
      </c>
      <c r="D32" s="59">
        <f t="shared" si="3"/>
        <v>370.19653229949995</v>
      </c>
      <c r="E32" s="59">
        <f t="shared" si="3"/>
        <v>1195.420792474551</v>
      </c>
      <c r="F32" s="59">
        <f t="shared" si="3"/>
        <v>52.201999999999998</v>
      </c>
      <c r="G32" s="60">
        <f t="shared" si="3"/>
        <v>1832.3709870000503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B74-0430-455E-A10C-6D5BE9705452}">
  <dimension ref="A1:E30"/>
  <sheetViews>
    <sheetView showGridLines="0" workbookViewId="0">
      <selection activeCell="E30" sqref="E30"/>
    </sheetView>
  </sheetViews>
  <sheetFormatPr defaultRowHeight="15" x14ac:dyDescent="0.25"/>
  <cols>
    <col min="1" max="1" width="18.140625" bestFit="1" customWidth="1"/>
    <col min="2" max="2" width="13.140625" bestFit="1" customWidth="1"/>
    <col min="3" max="3" width="18.28515625" bestFit="1" customWidth="1"/>
    <col min="4" max="4" width="12.28515625" bestFit="1" customWidth="1"/>
    <col min="5" max="5" width="11" bestFit="1" customWidth="1"/>
  </cols>
  <sheetData>
    <row r="1" spans="1:5" ht="15.75" thickBot="1" x14ac:dyDescent="0.3"/>
    <row r="2" spans="1:5" s="71" customFormat="1" ht="15.75" thickBot="1" x14ac:dyDescent="0.3">
      <c r="B2" s="126" t="s">
        <v>28</v>
      </c>
      <c r="C2" s="127" t="s">
        <v>66</v>
      </c>
      <c r="D2" s="128" t="s">
        <v>85</v>
      </c>
      <c r="E2" s="129" t="s">
        <v>545</v>
      </c>
    </row>
    <row r="3" spans="1:5" x14ac:dyDescent="0.25">
      <c r="A3" s="130" t="s">
        <v>23</v>
      </c>
      <c r="B3" s="134">
        <v>92.218499999999977</v>
      </c>
      <c r="C3" s="65"/>
      <c r="D3" s="65"/>
      <c r="E3" s="125">
        <f>SUM(B3:D3)</f>
        <v>92.218499999999977</v>
      </c>
    </row>
    <row r="4" spans="1:5" x14ac:dyDescent="0.25">
      <c r="A4" s="131" t="s">
        <v>73</v>
      </c>
      <c r="B4" s="135">
        <v>9.0013000000000005</v>
      </c>
      <c r="C4" s="61"/>
      <c r="D4" s="61"/>
      <c r="E4" s="124">
        <f t="shared" ref="E4:E28" si="0">SUM(B4:D4)</f>
        <v>9.0013000000000005</v>
      </c>
    </row>
    <row r="5" spans="1:5" x14ac:dyDescent="0.25">
      <c r="A5" s="131" t="s">
        <v>79</v>
      </c>
      <c r="B5" s="135">
        <v>6.27</v>
      </c>
      <c r="C5" s="61"/>
      <c r="D5" s="61">
        <v>11.42</v>
      </c>
      <c r="E5" s="124">
        <f t="shared" si="0"/>
        <v>17.689999999999998</v>
      </c>
    </row>
    <row r="6" spans="1:5" x14ac:dyDescent="0.25">
      <c r="A6" s="131" t="s">
        <v>86</v>
      </c>
      <c r="B6" s="135">
        <v>5.8148999999999997</v>
      </c>
      <c r="C6" s="61"/>
      <c r="D6" s="61">
        <v>0.6</v>
      </c>
      <c r="E6" s="124">
        <f t="shared" si="0"/>
        <v>6.4148999999999994</v>
      </c>
    </row>
    <row r="7" spans="1:5" x14ac:dyDescent="0.25">
      <c r="A7" s="131" t="s">
        <v>95</v>
      </c>
      <c r="B7" s="135">
        <v>40.518235071090047</v>
      </c>
      <c r="C7" s="61">
        <v>2.0644549763033178</v>
      </c>
      <c r="D7" s="61"/>
      <c r="E7" s="124">
        <f t="shared" si="0"/>
        <v>42.582690047393363</v>
      </c>
    </row>
    <row r="8" spans="1:5" x14ac:dyDescent="0.25">
      <c r="A8" s="131" t="s">
        <v>127</v>
      </c>
      <c r="B8" s="135">
        <v>10.347</v>
      </c>
      <c r="C8" s="61"/>
      <c r="D8" s="61"/>
      <c r="E8" s="124">
        <f t="shared" si="0"/>
        <v>10.347</v>
      </c>
    </row>
    <row r="9" spans="1:5" x14ac:dyDescent="0.25">
      <c r="A9" s="131" t="s">
        <v>136</v>
      </c>
      <c r="B9" s="135">
        <v>133.11240000000001</v>
      </c>
      <c r="C9" s="61"/>
      <c r="D9" s="61">
        <v>4.0999999999999996</v>
      </c>
      <c r="E9" s="124">
        <f t="shared" si="0"/>
        <v>137.2124</v>
      </c>
    </row>
    <row r="10" spans="1:5" x14ac:dyDescent="0.25">
      <c r="A10" s="131" t="s">
        <v>189</v>
      </c>
      <c r="B10" s="135">
        <v>260.34815238549993</v>
      </c>
      <c r="C10" s="61">
        <v>0</v>
      </c>
      <c r="D10" s="61">
        <v>9.6829999999999998</v>
      </c>
      <c r="E10" s="124">
        <f t="shared" si="0"/>
        <v>270.03115238549992</v>
      </c>
    </row>
    <row r="11" spans="1:5" x14ac:dyDescent="0.25">
      <c r="A11" s="131" t="s">
        <v>278</v>
      </c>
      <c r="B11" s="135"/>
      <c r="C11" s="61"/>
      <c r="D11" s="61">
        <v>3.8605</v>
      </c>
      <c r="E11" s="124">
        <f t="shared" si="0"/>
        <v>3.8605</v>
      </c>
    </row>
    <row r="12" spans="1:5" x14ac:dyDescent="0.25">
      <c r="A12" s="131" t="s">
        <v>282</v>
      </c>
      <c r="B12" s="135">
        <v>67.513899999999992</v>
      </c>
      <c r="C12" s="61"/>
      <c r="D12" s="61"/>
      <c r="E12" s="124">
        <f t="shared" si="0"/>
        <v>67.513899999999992</v>
      </c>
    </row>
    <row r="13" spans="1:5" x14ac:dyDescent="0.25">
      <c r="A13" s="131" t="s">
        <v>293</v>
      </c>
      <c r="B13" s="135">
        <v>195.0044465</v>
      </c>
      <c r="C13" s="61">
        <v>32.787594736842109</v>
      </c>
      <c r="D13" s="61">
        <v>40.747984210526319</v>
      </c>
      <c r="E13" s="124">
        <f t="shared" si="0"/>
        <v>268.54002544736846</v>
      </c>
    </row>
    <row r="14" spans="1:5" x14ac:dyDescent="0.25">
      <c r="A14" s="131" t="s">
        <v>323</v>
      </c>
      <c r="B14" s="135">
        <v>24.15</v>
      </c>
      <c r="C14" s="61"/>
      <c r="D14" s="61"/>
      <c r="E14" s="124">
        <f t="shared" si="0"/>
        <v>24.15</v>
      </c>
    </row>
    <row r="15" spans="1:5" x14ac:dyDescent="0.25">
      <c r="A15" s="131" t="s">
        <v>326</v>
      </c>
      <c r="B15" s="136">
        <v>129.93389999999999</v>
      </c>
      <c r="C15" s="61"/>
      <c r="D15" s="61">
        <v>0.85</v>
      </c>
      <c r="E15" s="124">
        <f t="shared" si="0"/>
        <v>130.78389999999999</v>
      </c>
    </row>
    <row r="16" spans="1:5" x14ac:dyDescent="0.25">
      <c r="A16" s="131" t="s">
        <v>338</v>
      </c>
      <c r="B16" s="135">
        <v>35.846199887499999</v>
      </c>
      <c r="C16" s="61">
        <v>1.6725000000000001</v>
      </c>
      <c r="D16" s="61">
        <v>9</v>
      </c>
      <c r="E16" s="124">
        <f t="shared" si="0"/>
        <v>46.518699887499999</v>
      </c>
    </row>
    <row r="17" spans="1:5" x14ac:dyDescent="0.25">
      <c r="A17" s="131" t="s">
        <v>354</v>
      </c>
      <c r="B17" s="135">
        <v>3.57</v>
      </c>
      <c r="C17" s="61">
        <v>0</v>
      </c>
      <c r="D17" s="61"/>
      <c r="E17" s="124">
        <f t="shared" si="0"/>
        <v>3.57</v>
      </c>
    </row>
    <row r="18" spans="1:5" x14ac:dyDescent="0.25">
      <c r="A18" s="131" t="s">
        <v>361</v>
      </c>
      <c r="B18" s="135">
        <v>33.590849999999996</v>
      </c>
      <c r="C18" s="61"/>
      <c r="D18" s="61">
        <v>12.541300000000003</v>
      </c>
      <c r="E18" s="124">
        <f t="shared" si="0"/>
        <v>46.132149999999996</v>
      </c>
    </row>
    <row r="19" spans="1:5" x14ac:dyDescent="0.25">
      <c r="A19" s="131" t="s">
        <v>402</v>
      </c>
      <c r="B19" s="135">
        <v>35.587600000000002</v>
      </c>
      <c r="C19" s="61"/>
      <c r="D19" s="61">
        <v>3.6057000000000001</v>
      </c>
      <c r="E19" s="124">
        <f t="shared" si="0"/>
        <v>39.193300000000001</v>
      </c>
    </row>
    <row r="20" spans="1:5" x14ac:dyDescent="0.25">
      <c r="A20" s="131" t="s">
        <v>413</v>
      </c>
      <c r="B20" s="135">
        <v>31.975000000000001</v>
      </c>
      <c r="C20" s="61"/>
      <c r="D20" s="61"/>
      <c r="E20" s="124">
        <f t="shared" si="0"/>
        <v>31.975000000000001</v>
      </c>
    </row>
    <row r="21" spans="1:5" x14ac:dyDescent="0.25">
      <c r="A21" s="131" t="s">
        <v>428</v>
      </c>
      <c r="B21" s="135">
        <v>9.7000000000000003E-2</v>
      </c>
      <c r="C21" s="61"/>
      <c r="D21" s="61"/>
      <c r="E21" s="124">
        <f t="shared" si="0"/>
        <v>9.7000000000000003E-2</v>
      </c>
    </row>
    <row r="22" spans="1:5" ht="15.75" thickBot="1" x14ac:dyDescent="0.3">
      <c r="A22" s="132" t="s">
        <v>475</v>
      </c>
      <c r="B22" s="137">
        <v>16.458299999999998</v>
      </c>
      <c r="C22" s="67">
        <v>0.37619999999999998</v>
      </c>
      <c r="D22" s="67">
        <v>43.542500000000004</v>
      </c>
      <c r="E22" s="124">
        <f t="shared" si="0"/>
        <v>60.377000000000002</v>
      </c>
    </row>
    <row r="23" spans="1:5" ht="15.75" thickBot="1" x14ac:dyDescent="0.3">
      <c r="A23" s="133" t="s">
        <v>546</v>
      </c>
      <c r="B23" s="138">
        <f>SUM(B3:B22)</f>
        <v>1131.3576838440899</v>
      </c>
      <c r="C23" s="68">
        <f>SUM(C3:C22)</f>
        <v>36.900749713145423</v>
      </c>
      <c r="D23" s="68">
        <f>SUM(D3:D22)</f>
        <v>139.95098421052631</v>
      </c>
      <c r="E23" s="69">
        <f>SUM(E3:E22)</f>
        <v>1308.2094177677614</v>
      </c>
    </row>
    <row r="24" spans="1:5" x14ac:dyDescent="0.25">
      <c r="A24" s="130" t="s">
        <v>59</v>
      </c>
      <c r="B24" s="134">
        <v>15.442</v>
      </c>
      <c r="C24" s="65">
        <v>5.5149999999999997</v>
      </c>
      <c r="D24" s="65"/>
      <c r="E24" s="124">
        <f t="shared" si="0"/>
        <v>20.957000000000001</v>
      </c>
    </row>
    <row r="25" spans="1:5" x14ac:dyDescent="0.25">
      <c r="A25" s="131" t="s">
        <v>384</v>
      </c>
      <c r="B25" s="135">
        <v>23.8248</v>
      </c>
      <c r="C25" s="61"/>
      <c r="D25" s="61"/>
      <c r="E25" s="124">
        <f t="shared" si="0"/>
        <v>23.8248</v>
      </c>
    </row>
    <row r="26" spans="1:5" x14ac:dyDescent="0.25">
      <c r="A26" s="131" t="s">
        <v>395</v>
      </c>
      <c r="B26" s="135">
        <v>4.5315000000000003</v>
      </c>
      <c r="C26" s="61"/>
      <c r="D26" s="61">
        <v>5.5385</v>
      </c>
      <c r="E26" s="124">
        <f t="shared" si="0"/>
        <v>10.07</v>
      </c>
    </row>
    <row r="27" spans="1:5" x14ac:dyDescent="0.25">
      <c r="A27" s="131" t="s">
        <v>433</v>
      </c>
      <c r="B27" s="135">
        <v>35.023933649289106</v>
      </c>
      <c r="C27" s="61"/>
      <c r="D27" s="61">
        <v>100.89000000000001</v>
      </c>
      <c r="E27" s="124">
        <f t="shared" si="0"/>
        <v>135.91393364928911</v>
      </c>
    </row>
    <row r="28" spans="1:5" ht="15.75" thickBot="1" x14ac:dyDescent="0.3">
      <c r="A28" s="132" t="s">
        <v>448</v>
      </c>
      <c r="B28" s="137">
        <v>333.39583558300001</v>
      </c>
      <c r="C28" s="67"/>
      <c r="D28" s="67"/>
      <c r="E28" s="124">
        <f t="shared" si="0"/>
        <v>333.39583558300001</v>
      </c>
    </row>
    <row r="29" spans="1:5" ht="15.75" thickBot="1" x14ac:dyDescent="0.3">
      <c r="A29" s="133" t="s">
        <v>551</v>
      </c>
      <c r="B29" s="138">
        <v>412.21806923228911</v>
      </c>
      <c r="C29" s="68">
        <v>5.5149999999999997</v>
      </c>
      <c r="D29" s="68">
        <v>106.42850000000001</v>
      </c>
      <c r="E29" s="69">
        <v>524.16156923228914</v>
      </c>
    </row>
    <row r="30" spans="1:5" ht="15.75" thickBot="1" x14ac:dyDescent="0.3">
      <c r="A30" s="133" t="s">
        <v>552</v>
      </c>
      <c r="B30" s="138">
        <f>B29+B23</f>
        <v>1543.575753076379</v>
      </c>
      <c r="C30" s="68">
        <f>C29+C23</f>
        <v>42.415749713145424</v>
      </c>
      <c r="D30" s="68">
        <f>D29+D23</f>
        <v>246.37948421052633</v>
      </c>
      <c r="E30" s="69">
        <f>E29+E23</f>
        <v>1832.3709870000505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B96B-E27D-4169-8834-09F377CCDCD4}">
  <dimension ref="A1:L31"/>
  <sheetViews>
    <sheetView showGridLines="0" workbookViewId="0">
      <selection activeCell="O13" sqref="O13"/>
    </sheetView>
  </sheetViews>
  <sheetFormatPr defaultRowHeight="15" x14ac:dyDescent="0.25"/>
  <cols>
    <col min="1" max="1" width="18" bestFit="1" customWidth="1"/>
    <col min="11" max="11" width="12.85546875" bestFit="1" customWidth="1"/>
  </cols>
  <sheetData>
    <row r="1" spans="1:12" x14ac:dyDescent="0.25">
      <c r="A1" s="157" t="s">
        <v>546</v>
      </c>
      <c r="B1" s="158">
        <v>2018</v>
      </c>
      <c r="C1" s="159">
        <v>2019</v>
      </c>
      <c r="D1" s="159">
        <v>2020</v>
      </c>
      <c r="E1" s="159">
        <v>2021</v>
      </c>
      <c r="F1" s="159">
        <v>2022</v>
      </c>
      <c r="G1" s="159">
        <v>2023</v>
      </c>
      <c r="H1" s="159">
        <v>2024</v>
      </c>
      <c r="I1" s="159">
        <v>2025</v>
      </c>
      <c r="J1" s="159">
        <v>2026</v>
      </c>
      <c r="K1" s="159" t="s">
        <v>565</v>
      </c>
      <c r="L1" s="160" t="s">
        <v>559</v>
      </c>
    </row>
    <row r="2" spans="1:12" x14ac:dyDescent="0.25">
      <c r="A2" s="161" t="s">
        <v>28</v>
      </c>
      <c r="B2" s="61">
        <v>1131.3576838440899</v>
      </c>
      <c r="C2" s="61"/>
      <c r="D2" s="61"/>
      <c r="E2" s="61"/>
      <c r="F2" s="61"/>
      <c r="G2" s="61"/>
      <c r="H2" s="61"/>
      <c r="I2" s="61"/>
      <c r="J2" s="61"/>
      <c r="K2" s="61"/>
      <c r="L2" s="61">
        <f>SUM(B2:K2)</f>
        <v>1131.3576838440899</v>
      </c>
    </row>
    <row r="3" spans="1:12" x14ac:dyDescent="0.25">
      <c r="A3" s="161" t="s">
        <v>66</v>
      </c>
      <c r="B3" s="61">
        <v>24.576200000000004</v>
      </c>
      <c r="C3" s="61">
        <v>3.0853686704913947</v>
      </c>
      <c r="D3" s="61">
        <v>6.1799511848341231</v>
      </c>
      <c r="E3" s="61">
        <v>1.3867298578199052</v>
      </c>
      <c r="F3" s="61">
        <v>1.6725000000000001</v>
      </c>
      <c r="G3" s="61">
        <v>0</v>
      </c>
      <c r="H3" s="61"/>
      <c r="I3" s="61"/>
      <c r="J3" s="61"/>
      <c r="K3" s="61"/>
      <c r="L3" s="61">
        <v>36.90074971314543</v>
      </c>
    </row>
    <row r="4" spans="1:12" x14ac:dyDescent="0.25">
      <c r="A4" s="161" t="s">
        <v>85</v>
      </c>
      <c r="B4" s="61"/>
      <c r="C4" s="61">
        <v>2.5395000000000003</v>
      </c>
      <c r="D4" s="61">
        <v>19.853000000000002</v>
      </c>
      <c r="E4" s="61">
        <v>6.0358315789473682</v>
      </c>
      <c r="F4" s="61">
        <v>22.900500000000001</v>
      </c>
      <c r="G4" s="61">
        <v>2.16</v>
      </c>
      <c r="H4" s="61">
        <v>7.1413000000000029</v>
      </c>
      <c r="I4" s="61">
        <v>6.9830000000000005</v>
      </c>
      <c r="J4" s="61">
        <v>17.893952631578948</v>
      </c>
      <c r="K4" s="61">
        <v>54.443900000000006</v>
      </c>
      <c r="L4" s="61">
        <v>139.95098421052634</v>
      </c>
    </row>
    <row r="6" spans="1:12" x14ac:dyDescent="0.25">
      <c r="A6" s="157" t="s">
        <v>556</v>
      </c>
      <c r="B6" s="158">
        <v>2018</v>
      </c>
      <c r="C6" s="159">
        <v>2019</v>
      </c>
      <c r="D6" s="159">
        <v>2020</v>
      </c>
      <c r="E6" s="159">
        <v>2021</v>
      </c>
      <c r="F6" s="159">
        <v>2022</v>
      </c>
      <c r="G6" s="159">
        <v>2023</v>
      </c>
      <c r="H6" s="159">
        <v>2024</v>
      </c>
      <c r="I6" s="159">
        <v>2025</v>
      </c>
      <c r="J6" s="159">
        <v>2026</v>
      </c>
      <c r="K6" s="159" t="s">
        <v>565</v>
      </c>
      <c r="L6" s="160" t="s">
        <v>559</v>
      </c>
    </row>
    <row r="7" spans="1:12" x14ac:dyDescent="0.25">
      <c r="A7" s="161" t="s">
        <v>28</v>
      </c>
      <c r="B7" s="61">
        <v>412.218069232289</v>
      </c>
      <c r="C7" s="61"/>
      <c r="D7" s="61"/>
      <c r="E7" s="61"/>
      <c r="F7" s="61"/>
      <c r="G7" s="61"/>
      <c r="H7" s="61"/>
      <c r="I7" s="61"/>
      <c r="J7" s="61"/>
      <c r="K7" s="61"/>
      <c r="L7" s="61">
        <v>412.218069232289</v>
      </c>
    </row>
    <row r="8" spans="1:12" x14ac:dyDescent="0.25">
      <c r="A8" s="161" t="s">
        <v>66</v>
      </c>
      <c r="B8" s="61"/>
      <c r="C8" s="61"/>
      <c r="D8" s="61">
        <v>5.5149999999999997</v>
      </c>
      <c r="E8" s="61"/>
      <c r="F8" s="61"/>
      <c r="G8" s="61"/>
      <c r="H8" s="61"/>
      <c r="I8" s="61"/>
      <c r="J8" s="61"/>
      <c r="K8" s="61"/>
      <c r="L8" s="61">
        <v>5.5149999999999997</v>
      </c>
    </row>
    <row r="9" spans="1:12" x14ac:dyDescent="0.25">
      <c r="A9" s="161" t="s">
        <v>85</v>
      </c>
      <c r="B9" s="61"/>
      <c r="C9" s="61"/>
      <c r="D9" s="61">
        <v>7.41</v>
      </c>
      <c r="E9" s="61">
        <v>45.6</v>
      </c>
      <c r="F9" s="61"/>
      <c r="G9" s="61"/>
      <c r="H9" s="61">
        <v>47.88000000000001</v>
      </c>
      <c r="I9" s="61"/>
      <c r="J9" s="61"/>
      <c r="K9" s="61">
        <v>2.5175000000000001</v>
      </c>
      <c r="L9" s="61">
        <v>106.42850000000001</v>
      </c>
    </row>
    <row r="11" spans="1:12" x14ac:dyDescent="0.25">
      <c r="A11" s="157" t="s">
        <v>545</v>
      </c>
      <c r="B11" s="158">
        <v>2018</v>
      </c>
      <c r="C11" s="159">
        <v>2019</v>
      </c>
      <c r="D11" s="159">
        <v>2020</v>
      </c>
      <c r="E11" s="159">
        <v>2021</v>
      </c>
      <c r="F11" s="159">
        <v>2022</v>
      </c>
      <c r="G11" s="159">
        <v>2023</v>
      </c>
      <c r="H11" s="159">
        <v>2024</v>
      </c>
      <c r="I11" s="159">
        <v>2025</v>
      </c>
      <c r="J11" s="159">
        <v>2026</v>
      </c>
      <c r="K11" s="159" t="s">
        <v>565</v>
      </c>
      <c r="L11" s="160" t="s">
        <v>559</v>
      </c>
    </row>
    <row r="12" spans="1:12" x14ac:dyDescent="0.25">
      <c r="A12" s="161" t="s">
        <v>28</v>
      </c>
      <c r="B12" s="61">
        <f t="shared" ref="B12:L12" si="0">B7+B2</f>
        <v>1543.575753076379</v>
      </c>
      <c r="C12" s="61">
        <f t="shared" si="0"/>
        <v>0</v>
      </c>
      <c r="D12" s="61">
        <f t="shared" si="0"/>
        <v>0</v>
      </c>
      <c r="E12" s="61">
        <f t="shared" si="0"/>
        <v>0</v>
      </c>
      <c r="F12" s="61">
        <f t="shared" si="0"/>
        <v>0</v>
      </c>
      <c r="G12" s="61">
        <f t="shared" si="0"/>
        <v>0</v>
      </c>
      <c r="H12" s="61">
        <f t="shared" si="0"/>
        <v>0</v>
      </c>
      <c r="I12" s="61">
        <f t="shared" si="0"/>
        <v>0</v>
      </c>
      <c r="J12" s="61">
        <f t="shared" si="0"/>
        <v>0</v>
      </c>
      <c r="K12" s="61">
        <f t="shared" si="0"/>
        <v>0</v>
      </c>
      <c r="L12" s="61">
        <f t="shared" si="0"/>
        <v>1543.575753076379</v>
      </c>
    </row>
    <row r="13" spans="1:12" x14ac:dyDescent="0.25">
      <c r="A13" s="161" t="s">
        <v>66</v>
      </c>
      <c r="B13" s="61">
        <f t="shared" ref="B13:L13" si="1">B8+B3</f>
        <v>24.576200000000004</v>
      </c>
      <c r="C13" s="61">
        <f t="shared" si="1"/>
        <v>3.0853686704913947</v>
      </c>
      <c r="D13" s="61">
        <f t="shared" si="1"/>
        <v>11.694951184834123</v>
      </c>
      <c r="E13" s="61">
        <f t="shared" si="1"/>
        <v>1.3867298578199052</v>
      </c>
      <c r="F13" s="61">
        <f t="shared" si="1"/>
        <v>1.6725000000000001</v>
      </c>
      <c r="G13" s="61">
        <f t="shared" si="1"/>
        <v>0</v>
      </c>
      <c r="H13" s="61">
        <f t="shared" si="1"/>
        <v>0</v>
      </c>
      <c r="I13" s="61">
        <f t="shared" si="1"/>
        <v>0</v>
      </c>
      <c r="J13" s="61">
        <f t="shared" si="1"/>
        <v>0</v>
      </c>
      <c r="K13" s="61">
        <f t="shared" si="1"/>
        <v>0</v>
      </c>
      <c r="L13" s="61">
        <f t="shared" si="1"/>
        <v>42.415749713145431</v>
      </c>
    </row>
    <row r="14" spans="1:12" x14ac:dyDescent="0.25">
      <c r="A14" s="161" t="s">
        <v>85</v>
      </c>
      <c r="B14" s="61">
        <f t="shared" ref="B14:L14" si="2">B9+B4</f>
        <v>0</v>
      </c>
      <c r="C14" s="61">
        <f t="shared" si="2"/>
        <v>2.5395000000000003</v>
      </c>
      <c r="D14" s="61">
        <f t="shared" si="2"/>
        <v>27.263000000000002</v>
      </c>
      <c r="E14" s="61">
        <f t="shared" si="2"/>
        <v>51.635831578947368</v>
      </c>
      <c r="F14" s="61">
        <f t="shared" si="2"/>
        <v>22.900500000000001</v>
      </c>
      <c r="G14" s="61">
        <f t="shared" si="2"/>
        <v>2.16</v>
      </c>
      <c r="H14" s="61">
        <f t="shared" si="2"/>
        <v>55.021300000000011</v>
      </c>
      <c r="I14" s="61">
        <f t="shared" si="2"/>
        <v>6.9830000000000005</v>
      </c>
      <c r="J14" s="61">
        <f t="shared" si="2"/>
        <v>17.893952631578948</v>
      </c>
      <c r="K14" s="61">
        <f t="shared" si="2"/>
        <v>56.961400000000005</v>
      </c>
      <c r="L14" s="61">
        <f t="shared" si="2"/>
        <v>246.37948421052636</v>
      </c>
    </row>
    <row r="15" spans="1:12" x14ac:dyDescent="0.25">
      <c r="A15" s="7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x14ac:dyDescent="0.25">
      <c r="A16" s="7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</row>
    <row r="17" spans="1:12" x14ac:dyDescent="0.25">
      <c r="A17" s="162" t="s">
        <v>566</v>
      </c>
    </row>
    <row r="18" spans="1:12" x14ac:dyDescent="0.25">
      <c r="A18" s="157" t="s">
        <v>546</v>
      </c>
      <c r="B18" s="158">
        <v>2018</v>
      </c>
      <c r="C18" s="159">
        <v>2019</v>
      </c>
      <c r="D18" s="159">
        <v>2020</v>
      </c>
      <c r="E18" s="159">
        <v>2021</v>
      </c>
      <c r="F18" s="159">
        <v>2022</v>
      </c>
      <c r="G18" s="159">
        <v>2023</v>
      </c>
      <c r="H18" s="159">
        <v>2024</v>
      </c>
      <c r="I18" s="159">
        <v>2025</v>
      </c>
      <c r="J18" s="159">
        <v>2026</v>
      </c>
      <c r="K18" s="159" t="s">
        <v>565</v>
      </c>
      <c r="L18" s="160" t="s">
        <v>559</v>
      </c>
    </row>
    <row r="19" spans="1:12" x14ac:dyDescent="0.25">
      <c r="A19" s="161" t="s">
        <v>28</v>
      </c>
      <c r="B19" s="61">
        <f>B2</f>
        <v>1131.3576838440899</v>
      </c>
      <c r="C19" s="61">
        <f>B19</f>
        <v>1131.3576838440899</v>
      </c>
      <c r="D19" s="61">
        <f t="shared" ref="D19:K19" si="3">C19</f>
        <v>1131.3576838440899</v>
      </c>
      <c r="E19" s="61">
        <f t="shared" si="3"/>
        <v>1131.3576838440899</v>
      </c>
      <c r="F19" s="61">
        <f t="shared" si="3"/>
        <v>1131.3576838440899</v>
      </c>
      <c r="G19" s="61">
        <f t="shared" si="3"/>
        <v>1131.3576838440899</v>
      </c>
      <c r="H19" s="61">
        <f t="shared" si="3"/>
        <v>1131.3576838440899</v>
      </c>
      <c r="I19" s="61">
        <f t="shared" si="3"/>
        <v>1131.3576838440899</v>
      </c>
      <c r="J19" s="61">
        <f t="shared" si="3"/>
        <v>1131.3576838440899</v>
      </c>
      <c r="K19" s="61">
        <f t="shared" si="3"/>
        <v>1131.3576838440899</v>
      </c>
      <c r="L19" s="61"/>
    </row>
    <row r="20" spans="1:12" x14ac:dyDescent="0.25">
      <c r="A20" s="161" t="s">
        <v>66</v>
      </c>
      <c r="B20" s="61">
        <f>B3</f>
        <v>24.576200000000004</v>
      </c>
      <c r="C20" s="61">
        <f>B20+C3</f>
        <v>27.661568670491398</v>
      </c>
      <c r="D20" s="61">
        <f t="shared" ref="D20:K21" si="4">C20+D3</f>
        <v>33.841519855325522</v>
      </c>
      <c r="E20" s="61">
        <f t="shared" si="4"/>
        <v>35.228249713145431</v>
      </c>
      <c r="F20" s="61">
        <f t="shared" si="4"/>
        <v>36.90074971314543</v>
      </c>
      <c r="G20" s="61">
        <f t="shared" si="4"/>
        <v>36.90074971314543</v>
      </c>
      <c r="H20" s="61">
        <f t="shared" si="4"/>
        <v>36.90074971314543</v>
      </c>
      <c r="I20" s="61">
        <f t="shared" si="4"/>
        <v>36.90074971314543</v>
      </c>
      <c r="J20" s="61">
        <f t="shared" si="4"/>
        <v>36.90074971314543</v>
      </c>
      <c r="K20" s="61">
        <f t="shared" si="4"/>
        <v>36.90074971314543</v>
      </c>
      <c r="L20" s="61"/>
    </row>
    <row r="21" spans="1:12" x14ac:dyDescent="0.25">
      <c r="A21" s="161" t="s">
        <v>85</v>
      </c>
      <c r="B21" s="61">
        <f>B4</f>
        <v>0</v>
      </c>
      <c r="C21" s="61">
        <f>B21+C4</f>
        <v>2.5395000000000003</v>
      </c>
      <c r="D21" s="61">
        <f t="shared" si="4"/>
        <v>22.392500000000002</v>
      </c>
      <c r="E21" s="61">
        <f t="shared" si="4"/>
        <v>28.428331578947372</v>
      </c>
      <c r="F21" s="61">
        <f t="shared" si="4"/>
        <v>51.328831578947373</v>
      </c>
      <c r="G21" s="61">
        <f t="shared" si="4"/>
        <v>53.488831578947369</v>
      </c>
      <c r="H21" s="61">
        <f t="shared" si="4"/>
        <v>60.63013157894737</v>
      </c>
      <c r="I21" s="61">
        <f t="shared" si="4"/>
        <v>67.613131578947375</v>
      </c>
      <c r="J21" s="61">
        <f t="shared" si="4"/>
        <v>85.50708421052633</v>
      </c>
      <c r="K21" s="61">
        <f t="shared" si="4"/>
        <v>139.95098421052634</v>
      </c>
      <c r="L21" s="61"/>
    </row>
    <row r="23" spans="1:12" x14ac:dyDescent="0.25">
      <c r="A23" s="157" t="s">
        <v>556</v>
      </c>
      <c r="B23" s="158">
        <v>2018</v>
      </c>
      <c r="C23" s="159">
        <v>2019</v>
      </c>
      <c r="D23" s="159">
        <v>2020</v>
      </c>
      <c r="E23" s="159">
        <v>2021</v>
      </c>
      <c r="F23" s="159">
        <v>2022</v>
      </c>
      <c r="G23" s="159">
        <v>2023</v>
      </c>
      <c r="H23" s="159">
        <v>2024</v>
      </c>
      <c r="I23" s="159">
        <v>2025</v>
      </c>
      <c r="J23" s="159">
        <v>2026</v>
      </c>
      <c r="K23" s="159" t="s">
        <v>565</v>
      </c>
      <c r="L23" s="160" t="s">
        <v>559</v>
      </c>
    </row>
    <row r="24" spans="1:12" x14ac:dyDescent="0.25">
      <c r="A24" s="161" t="s">
        <v>28</v>
      </c>
      <c r="B24" s="61">
        <f>B7</f>
        <v>412.218069232289</v>
      </c>
      <c r="C24" s="61">
        <f>B24</f>
        <v>412.218069232289</v>
      </c>
      <c r="D24" s="61">
        <f t="shared" ref="D24:K24" si="5">C24</f>
        <v>412.218069232289</v>
      </c>
      <c r="E24" s="61">
        <f t="shared" si="5"/>
        <v>412.218069232289</v>
      </c>
      <c r="F24" s="61">
        <f t="shared" si="5"/>
        <v>412.218069232289</v>
      </c>
      <c r="G24" s="61">
        <f t="shared" si="5"/>
        <v>412.218069232289</v>
      </c>
      <c r="H24" s="61">
        <f t="shared" si="5"/>
        <v>412.218069232289</v>
      </c>
      <c r="I24" s="61">
        <f t="shared" si="5"/>
        <v>412.218069232289</v>
      </c>
      <c r="J24" s="61">
        <f t="shared" si="5"/>
        <v>412.218069232289</v>
      </c>
      <c r="K24" s="61">
        <f t="shared" si="5"/>
        <v>412.218069232289</v>
      </c>
      <c r="L24" s="61"/>
    </row>
    <row r="25" spans="1:12" x14ac:dyDescent="0.25">
      <c r="A25" s="161" t="s">
        <v>66</v>
      </c>
      <c r="B25" s="61">
        <f>B8</f>
        <v>0</v>
      </c>
      <c r="C25" s="61">
        <f>B25+C8</f>
        <v>0</v>
      </c>
      <c r="D25" s="61">
        <f t="shared" ref="D25:K26" si="6">C25+D8</f>
        <v>5.5149999999999997</v>
      </c>
      <c r="E25" s="61">
        <f t="shared" si="6"/>
        <v>5.5149999999999997</v>
      </c>
      <c r="F25" s="61">
        <f t="shared" si="6"/>
        <v>5.5149999999999997</v>
      </c>
      <c r="G25" s="61">
        <f t="shared" si="6"/>
        <v>5.5149999999999997</v>
      </c>
      <c r="H25" s="61">
        <f t="shared" si="6"/>
        <v>5.5149999999999997</v>
      </c>
      <c r="I25" s="61">
        <f t="shared" si="6"/>
        <v>5.5149999999999997</v>
      </c>
      <c r="J25" s="61">
        <f t="shared" si="6"/>
        <v>5.5149999999999997</v>
      </c>
      <c r="K25" s="61">
        <f t="shared" si="6"/>
        <v>5.5149999999999997</v>
      </c>
      <c r="L25" s="61"/>
    </row>
    <row r="26" spans="1:12" x14ac:dyDescent="0.25">
      <c r="A26" s="161" t="s">
        <v>85</v>
      </c>
      <c r="B26" s="61">
        <f>B9</f>
        <v>0</v>
      </c>
      <c r="C26" s="61">
        <f>B26+C9</f>
        <v>0</v>
      </c>
      <c r="D26" s="61">
        <f t="shared" si="6"/>
        <v>7.41</v>
      </c>
      <c r="E26" s="61">
        <f t="shared" si="6"/>
        <v>53.010000000000005</v>
      </c>
      <c r="F26" s="61">
        <f t="shared" si="6"/>
        <v>53.010000000000005</v>
      </c>
      <c r="G26" s="61">
        <f t="shared" si="6"/>
        <v>53.010000000000005</v>
      </c>
      <c r="H26" s="61">
        <f t="shared" si="6"/>
        <v>100.89000000000001</v>
      </c>
      <c r="I26" s="61">
        <f t="shared" si="6"/>
        <v>100.89000000000001</v>
      </c>
      <c r="J26" s="61">
        <f t="shared" si="6"/>
        <v>100.89000000000001</v>
      </c>
      <c r="K26" s="61">
        <f t="shared" si="6"/>
        <v>103.40750000000001</v>
      </c>
      <c r="L26" s="61"/>
    </row>
    <row r="28" spans="1:12" x14ac:dyDescent="0.25">
      <c r="A28" s="157" t="s">
        <v>545</v>
      </c>
      <c r="B28" s="158">
        <v>2018</v>
      </c>
      <c r="C28" s="159">
        <v>2019</v>
      </c>
      <c r="D28" s="159">
        <v>2020</v>
      </c>
      <c r="E28" s="159">
        <v>2021</v>
      </c>
      <c r="F28" s="159">
        <v>2022</v>
      </c>
      <c r="G28" s="159">
        <v>2023</v>
      </c>
      <c r="H28" s="159">
        <v>2024</v>
      </c>
      <c r="I28" s="159">
        <v>2025</v>
      </c>
      <c r="J28" s="159">
        <v>2026</v>
      </c>
      <c r="K28" s="159" t="s">
        <v>565</v>
      </c>
      <c r="L28" s="160" t="s">
        <v>559</v>
      </c>
    </row>
    <row r="29" spans="1:12" x14ac:dyDescent="0.25">
      <c r="A29" s="161" t="s">
        <v>28</v>
      </c>
      <c r="B29" s="61">
        <f t="shared" ref="B29:K29" si="7">B24+B19</f>
        <v>1543.575753076379</v>
      </c>
      <c r="C29" s="61">
        <f t="shared" si="7"/>
        <v>1543.575753076379</v>
      </c>
      <c r="D29" s="61">
        <f t="shared" si="7"/>
        <v>1543.575753076379</v>
      </c>
      <c r="E29" s="61">
        <f t="shared" si="7"/>
        <v>1543.575753076379</v>
      </c>
      <c r="F29" s="61">
        <f t="shared" si="7"/>
        <v>1543.575753076379</v>
      </c>
      <c r="G29" s="61">
        <f t="shared" si="7"/>
        <v>1543.575753076379</v>
      </c>
      <c r="H29" s="61">
        <f t="shared" si="7"/>
        <v>1543.575753076379</v>
      </c>
      <c r="I29" s="61">
        <f t="shared" si="7"/>
        <v>1543.575753076379</v>
      </c>
      <c r="J29" s="61">
        <f t="shared" si="7"/>
        <v>1543.575753076379</v>
      </c>
      <c r="K29" s="61">
        <f t="shared" si="7"/>
        <v>1543.575753076379</v>
      </c>
      <c r="L29" s="61"/>
    </row>
    <row r="30" spans="1:12" x14ac:dyDescent="0.25">
      <c r="A30" s="161" t="s">
        <v>66</v>
      </c>
      <c r="B30" s="61">
        <f t="shared" ref="B30:K30" si="8">B25+B20</f>
        <v>24.576200000000004</v>
      </c>
      <c r="C30" s="61">
        <f t="shared" si="8"/>
        <v>27.661568670491398</v>
      </c>
      <c r="D30" s="61">
        <f t="shared" si="8"/>
        <v>39.356519855325523</v>
      </c>
      <c r="E30" s="61">
        <f t="shared" si="8"/>
        <v>40.743249713145431</v>
      </c>
      <c r="F30" s="61">
        <f t="shared" si="8"/>
        <v>42.415749713145431</v>
      </c>
      <c r="G30" s="61">
        <f t="shared" si="8"/>
        <v>42.415749713145431</v>
      </c>
      <c r="H30" s="61">
        <f t="shared" si="8"/>
        <v>42.415749713145431</v>
      </c>
      <c r="I30" s="61">
        <f t="shared" si="8"/>
        <v>42.415749713145431</v>
      </c>
      <c r="J30" s="61">
        <f t="shared" si="8"/>
        <v>42.415749713145431</v>
      </c>
      <c r="K30" s="61">
        <f t="shared" si="8"/>
        <v>42.415749713145431</v>
      </c>
      <c r="L30" s="61"/>
    </row>
    <row r="31" spans="1:12" x14ac:dyDescent="0.25">
      <c r="A31" s="161" t="s">
        <v>85</v>
      </c>
      <c r="B31" s="61">
        <f t="shared" ref="B31:K31" si="9">B26+B21</f>
        <v>0</v>
      </c>
      <c r="C31" s="61">
        <f t="shared" si="9"/>
        <v>2.5395000000000003</v>
      </c>
      <c r="D31" s="61">
        <f t="shared" si="9"/>
        <v>29.802500000000002</v>
      </c>
      <c r="E31" s="61">
        <f t="shared" si="9"/>
        <v>81.438331578947384</v>
      </c>
      <c r="F31" s="61">
        <f t="shared" si="9"/>
        <v>104.33883157894738</v>
      </c>
      <c r="G31" s="61">
        <f t="shared" si="9"/>
        <v>106.49883157894737</v>
      </c>
      <c r="H31" s="61">
        <f t="shared" si="9"/>
        <v>161.52013157894737</v>
      </c>
      <c r="I31" s="61">
        <f t="shared" si="9"/>
        <v>168.50313157894738</v>
      </c>
      <c r="J31" s="61">
        <f t="shared" si="9"/>
        <v>186.39708421052634</v>
      </c>
      <c r="K31" s="61">
        <f t="shared" si="9"/>
        <v>243.35848421052634</v>
      </c>
      <c r="L31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583A-257F-42DC-9AD0-38311AFF93ED}">
  <dimension ref="A2:E28"/>
  <sheetViews>
    <sheetView showGridLines="0" workbookViewId="0">
      <selection activeCell="H11" sqref="H11"/>
    </sheetView>
  </sheetViews>
  <sheetFormatPr defaultRowHeight="15" x14ac:dyDescent="0.25"/>
  <cols>
    <col min="1" max="1" width="37.7109375" bestFit="1" customWidth="1"/>
    <col min="2" max="2" width="16.28515625" bestFit="1" customWidth="1"/>
    <col min="3" max="3" width="12" bestFit="1" customWidth="1"/>
    <col min="4" max="4" width="18" bestFit="1" customWidth="1"/>
    <col min="5" max="7" width="12" bestFit="1" customWidth="1"/>
    <col min="8" max="8" width="9" bestFit="1" customWidth="1"/>
    <col min="9" max="9" width="12" bestFit="1" customWidth="1"/>
  </cols>
  <sheetData>
    <row r="2" spans="1:5" x14ac:dyDescent="0.25">
      <c r="A2" s="49" t="s">
        <v>542</v>
      </c>
      <c r="B2" t="s">
        <v>544</v>
      </c>
    </row>
    <row r="3" spans="1:5" x14ac:dyDescent="0.25">
      <c r="A3" s="49" t="s">
        <v>540</v>
      </c>
      <c r="B3" t="s">
        <v>534</v>
      </c>
    </row>
    <row r="4" spans="1:5" x14ac:dyDescent="0.25">
      <c r="A4" s="49" t="s">
        <v>541</v>
      </c>
      <c r="B4" t="s">
        <v>34</v>
      </c>
    </row>
    <row r="6" spans="1:5" x14ac:dyDescent="0.25">
      <c r="A6" s="49" t="s">
        <v>564</v>
      </c>
      <c r="B6" s="49" t="s">
        <v>537</v>
      </c>
    </row>
    <row r="7" spans="1:5" x14ac:dyDescent="0.25">
      <c r="A7" s="49" t="s">
        <v>535</v>
      </c>
      <c r="B7" t="s">
        <v>28</v>
      </c>
      <c r="C7" t="s">
        <v>85</v>
      </c>
      <c r="D7" t="s">
        <v>66</v>
      </c>
      <c r="E7" t="s">
        <v>536</v>
      </c>
    </row>
    <row r="8" spans="1:5" x14ac:dyDescent="0.25">
      <c r="A8" s="50" t="s">
        <v>23</v>
      </c>
      <c r="B8" s="51">
        <v>1050.0315000000001</v>
      </c>
      <c r="C8" s="51"/>
      <c r="D8" s="51"/>
      <c r="E8" s="51">
        <v>1050.0315000000001</v>
      </c>
    </row>
    <row r="9" spans="1:5" x14ac:dyDescent="0.25">
      <c r="A9" s="50" t="s">
        <v>73</v>
      </c>
      <c r="B9" s="51">
        <v>169.5</v>
      </c>
      <c r="C9" s="51"/>
      <c r="D9" s="51"/>
      <c r="E9" s="51">
        <v>169.5</v>
      </c>
    </row>
    <row r="10" spans="1:5" x14ac:dyDescent="0.25">
      <c r="A10" s="50" t="s">
        <v>79</v>
      </c>
      <c r="B10" s="51">
        <v>36.200000000000003</v>
      </c>
      <c r="C10" s="51">
        <v>114.2</v>
      </c>
      <c r="D10" s="51"/>
      <c r="E10" s="51">
        <v>150.4</v>
      </c>
    </row>
    <row r="11" spans="1:5" x14ac:dyDescent="0.25">
      <c r="A11" s="50" t="s">
        <v>86</v>
      </c>
      <c r="B11" s="51">
        <v>60.57</v>
      </c>
      <c r="C11" s="51">
        <v>22</v>
      </c>
      <c r="D11" s="51"/>
      <c r="E11" s="51">
        <v>82.57</v>
      </c>
    </row>
    <row r="12" spans="1:5" x14ac:dyDescent="0.25">
      <c r="A12" s="50" t="s">
        <v>95</v>
      </c>
      <c r="B12" s="51">
        <v>703.27605213270158</v>
      </c>
      <c r="C12" s="51"/>
      <c r="D12" s="51">
        <v>0</v>
      </c>
      <c r="E12" s="51">
        <v>703.27605213270158</v>
      </c>
    </row>
    <row r="13" spans="1:5" x14ac:dyDescent="0.25">
      <c r="A13" s="50" t="s">
        <v>127</v>
      </c>
      <c r="B13" s="51">
        <v>194.4</v>
      </c>
      <c r="C13" s="51"/>
      <c r="D13" s="51"/>
      <c r="E13" s="51">
        <v>194.4</v>
      </c>
    </row>
    <row r="14" spans="1:5" x14ac:dyDescent="0.25">
      <c r="A14" s="50" t="s">
        <v>136</v>
      </c>
      <c r="B14" s="51">
        <v>2506</v>
      </c>
      <c r="C14" s="51">
        <v>246.2</v>
      </c>
      <c r="D14" s="51"/>
      <c r="E14" s="51">
        <v>2752.2</v>
      </c>
    </row>
    <row r="15" spans="1:5" x14ac:dyDescent="0.25">
      <c r="A15" s="50" t="s">
        <v>189</v>
      </c>
      <c r="B15" s="51">
        <v>7078.7560719999983</v>
      </c>
      <c r="C15" s="51">
        <v>187.95599999999999</v>
      </c>
      <c r="D15" s="51">
        <v>0</v>
      </c>
      <c r="E15" s="51">
        <v>7266.7120719999984</v>
      </c>
    </row>
    <row r="16" spans="1:5" x14ac:dyDescent="0.25">
      <c r="A16" s="50" t="s">
        <v>278</v>
      </c>
      <c r="B16" s="51"/>
      <c r="C16" s="51">
        <v>44.12</v>
      </c>
      <c r="D16" s="51"/>
      <c r="E16" s="51">
        <v>44.12</v>
      </c>
    </row>
    <row r="17" spans="1:5" x14ac:dyDescent="0.25">
      <c r="A17" s="50" t="s">
        <v>282</v>
      </c>
      <c r="B17" s="51">
        <v>837.42</v>
      </c>
      <c r="C17" s="51"/>
      <c r="D17" s="51"/>
      <c r="E17" s="51">
        <v>837.42</v>
      </c>
    </row>
    <row r="18" spans="1:5" x14ac:dyDescent="0.25">
      <c r="A18" s="50" t="s">
        <v>293</v>
      </c>
      <c r="B18" s="51">
        <v>2969.7102</v>
      </c>
      <c r="C18" s="51">
        <v>305.99145921052633</v>
      </c>
      <c r="D18" s="51">
        <v>379.75492631578942</v>
      </c>
      <c r="E18" s="51">
        <v>3655.4565855263158</v>
      </c>
    </row>
    <row r="19" spans="1:5" x14ac:dyDescent="0.25">
      <c r="A19" s="50" t="s">
        <v>323</v>
      </c>
      <c r="B19" s="51">
        <v>315</v>
      </c>
      <c r="C19" s="51"/>
      <c r="D19" s="51"/>
      <c r="E19" s="51">
        <v>315</v>
      </c>
    </row>
    <row r="20" spans="1:5" x14ac:dyDescent="0.25">
      <c r="A20" s="50" t="s">
        <v>326</v>
      </c>
      <c r="B20" s="51">
        <v>2790.8530000000001</v>
      </c>
      <c r="C20" s="51">
        <v>0</v>
      </c>
      <c r="D20" s="51"/>
      <c r="E20" s="51">
        <v>2790.8530000000001</v>
      </c>
    </row>
    <row r="21" spans="1:5" x14ac:dyDescent="0.25">
      <c r="A21" s="50" t="s">
        <v>338</v>
      </c>
      <c r="B21" s="51">
        <v>574.12996755377321</v>
      </c>
      <c r="C21" s="51">
        <v>252.8</v>
      </c>
      <c r="D21" s="51">
        <v>0</v>
      </c>
      <c r="E21" s="51">
        <v>826.92996755377317</v>
      </c>
    </row>
    <row r="22" spans="1:5" x14ac:dyDescent="0.25">
      <c r="A22" s="50" t="s">
        <v>354</v>
      </c>
      <c r="B22" s="51">
        <v>85.68</v>
      </c>
      <c r="C22" s="51"/>
      <c r="D22" s="51">
        <v>0</v>
      </c>
      <c r="E22" s="51">
        <v>85.68</v>
      </c>
    </row>
    <row r="23" spans="1:5" x14ac:dyDescent="0.25">
      <c r="A23" s="50" t="s">
        <v>361</v>
      </c>
      <c r="B23" s="51">
        <v>347.6</v>
      </c>
      <c r="C23" s="51">
        <v>74.564999999999998</v>
      </c>
      <c r="D23" s="51"/>
      <c r="E23" s="51">
        <v>422.16500000000002</v>
      </c>
    </row>
    <row r="24" spans="1:5" x14ac:dyDescent="0.25">
      <c r="A24" s="50" t="s">
        <v>402</v>
      </c>
      <c r="B24" s="51">
        <v>479.36799999999999</v>
      </c>
      <c r="C24" s="51">
        <v>39.799999999999997</v>
      </c>
      <c r="D24" s="51"/>
      <c r="E24" s="51">
        <v>519.16800000000001</v>
      </c>
    </row>
    <row r="25" spans="1:5" x14ac:dyDescent="0.25">
      <c r="A25" s="50" t="s">
        <v>413</v>
      </c>
      <c r="B25" s="51">
        <v>214.5</v>
      </c>
      <c r="C25" s="51"/>
      <c r="D25" s="51"/>
      <c r="E25" s="51">
        <v>214.5</v>
      </c>
    </row>
    <row r="26" spans="1:5" x14ac:dyDescent="0.25">
      <c r="A26" s="50" t="s">
        <v>428</v>
      </c>
      <c r="B26" s="51">
        <v>11.52</v>
      </c>
      <c r="C26" s="51"/>
      <c r="D26" s="51"/>
      <c r="E26" s="51">
        <v>11.52</v>
      </c>
    </row>
    <row r="27" spans="1:5" x14ac:dyDescent="0.25">
      <c r="A27" s="50" t="s">
        <v>475</v>
      </c>
      <c r="B27" s="51">
        <v>1455.2529999999999</v>
      </c>
      <c r="C27" s="51">
        <v>768.40000000000009</v>
      </c>
      <c r="D27" s="51">
        <v>90.288000000000011</v>
      </c>
      <c r="E27" s="51">
        <v>2313.9410000000003</v>
      </c>
    </row>
    <row r="28" spans="1:5" x14ac:dyDescent="0.25">
      <c r="A28" s="50" t="s">
        <v>536</v>
      </c>
      <c r="B28" s="51">
        <v>21879.76779168647</v>
      </c>
      <c r="C28" s="51">
        <v>2056.0324592105262</v>
      </c>
      <c r="D28" s="51">
        <v>470.04292631578943</v>
      </c>
      <c r="E28" s="51">
        <v>24405.843177212791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 DB </vt:lpstr>
      <vt:lpstr>No and vol by type</vt:lpstr>
      <vt:lpstr>WGV by type TWh</vt:lpstr>
      <vt:lpstr>WGV by status</vt:lpstr>
      <vt:lpstr>Investments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Simion</dc:creator>
  <cp:lastModifiedBy>Bogdan Simion</cp:lastModifiedBy>
  <dcterms:created xsi:type="dcterms:W3CDTF">2018-10-24T06:50:07Z</dcterms:created>
  <dcterms:modified xsi:type="dcterms:W3CDTF">2018-12-19T10:24:44Z</dcterms:modified>
</cp:coreProperties>
</file>